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User13-pc\■総務部（施設）\0100_工事設計\1400_R8工事\011_LED改修工事\HP\"/>
    </mc:Choice>
  </mc:AlternateContent>
  <xr:revisionPtr revIDLastSave="0" documentId="13_ncr:1_{8C96256B-7FC4-4303-B9CB-CF7A613B4263}" xr6:coauthVersionLast="47" xr6:coauthVersionMax="47" xr10:uidLastSave="{00000000-0000-0000-0000-000000000000}"/>
  <bookViews>
    <workbookView xWindow="-120" yWindow="-120" windowWidth="29040" windowHeight="15720" tabRatio="933" xr2:uid="{264C1572-2A35-43F1-A306-E9A6AD2F43A4}"/>
  </bookViews>
  <sheets>
    <sheet name="工事費" sheetId="12" r:id="rId1"/>
    <sheet name="電気設備工事" sheetId="11" r:id="rId2"/>
    <sheet name="配管関係" sheetId="14" state="hidden" r:id="rId3"/>
    <sheet name="電線・ｹｰﾌﾞﾙ" sheetId="15" state="hidden" r:id="rId4"/>
    <sheet name="弱電ケーブル" sheetId="16" state="hidden" r:id="rId5"/>
    <sheet name="配線器具" sheetId="17" state="hidden" r:id="rId6"/>
    <sheet name="プルボックス・盤" sheetId="19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WRM18" localSheetId="0" hidden="1">{#N/A,#N/A,FALSE,"Sheet16";#N/A,#N/A,FALSE,"Sheet16"}</definedName>
    <definedName name="__________WRM18" localSheetId="1" hidden="1">{#N/A,#N/A,FALSE,"Sheet16";#N/A,#N/A,FALSE,"Sheet16"}</definedName>
    <definedName name="__________WRM18" hidden="1">{#N/A,#N/A,FALSE,"Sheet16";#N/A,#N/A,FALSE,"Sheet16"}</definedName>
    <definedName name="________WRM18" localSheetId="0" hidden="1">{#N/A,#N/A,FALSE,"Sheet16";#N/A,#N/A,FALSE,"Sheet16"}</definedName>
    <definedName name="________WRM18" localSheetId="1" hidden="1">{#N/A,#N/A,FALSE,"Sheet16";#N/A,#N/A,FALSE,"Sheet16"}</definedName>
    <definedName name="________WRM18" hidden="1">{#N/A,#N/A,FALSE,"Sheet16";#N/A,#N/A,FALSE,"Sheet16"}</definedName>
    <definedName name="_______ＭＭＳ05" localSheetId="0" hidden="1">{#N/A,#N/A,FALSE,"Sheet16";#N/A,#N/A,FALSE,"Sheet16"}</definedName>
    <definedName name="_______ＭＭＳ05" localSheetId="1" hidden="1">{#N/A,#N/A,FALSE,"Sheet16";#N/A,#N/A,FALSE,"Sheet16"}</definedName>
    <definedName name="_______ＭＭＳ05" hidden="1">{#N/A,#N/A,FALSE,"Sheet16";#N/A,#N/A,FALSE,"Sheet16"}</definedName>
    <definedName name="______ＭＭＳ05" localSheetId="0" hidden="1">{#N/A,#N/A,FALSE,"Sheet16";#N/A,#N/A,FALSE,"Sheet16"}</definedName>
    <definedName name="______ＭＭＳ05" localSheetId="1" hidden="1">{#N/A,#N/A,FALSE,"Sheet16";#N/A,#N/A,FALSE,"Sheet16"}</definedName>
    <definedName name="______ＭＭＳ05" hidden="1">{#N/A,#N/A,FALSE,"Sheet16";#N/A,#N/A,FALSE,"Sheet16"}</definedName>
    <definedName name="______WRM18" localSheetId="0" hidden="1">{#N/A,#N/A,FALSE,"Sheet16";#N/A,#N/A,FALSE,"Sheet16"}</definedName>
    <definedName name="______WRM18" localSheetId="1" hidden="1">{#N/A,#N/A,FALSE,"Sheet16";#N/A,#N/A,FALSE,"Sheet16"}</definedName>
    <definedName name="______WRM18" hidden="1">{#N/A,#N/A,FALSE,"Sheet16";#N/A,#N/A,FALSE,"Sheet16"}</definedName>
    <definedName name="_____ＭＭＳ05" localSheetId="0" hidden="1">{#N/A,#N/A,FALSE,"Sheet16";#N/A,#N/A,FALSE,"Sheet16"}</definedName>
    <definedName name="_____ＭＭＳ05" localSheetId="1" hidden="1">{#N/A,#N/A,FALSE,"Sheet16";#N/A,#N/A,FALSE,"Sheet16"}</definedName>
    <definedName name="_____ＭＭＳ05" hidden="1">{#N/A,#N/A,FALSE,"Sheet16";#N/A,#N/A,FALSE,"Sheet16"}</definedName>
    <definedName name="_____WRM18" localSheetId="0" hidden="1">{#N/A,#N/A,FALSE,"Sheet16";#N/A,#N/A,FALSE,"Sheet16"}</definedName>
    <definedName name="_____WRM18" localSheetId="1" hidden="1">{#N/A,#N/A,FALSE,"Sheet16";#N/A,#N/A,FALSE,"Sheet16"}</definedName>
    <definedName name="_____WRM18" hidden="1">{#N/A,#N/A,FALSE,"Sheet16";#N/A,#N/A,FALSE,"Sheet16"}</definedName>
    <definedName name="____ＭＭＳ05" localSheetId="0" hidden="1">{#N/A,#N/A,FALSE,"Sheet16";#N/A,#N/A,FALSE,"Sheet16"}</definedName>
    <definedName name="____ＭＭＳ05" localSheetId="1" hidden="1">{#N/A,#N/A,FALSE,"Sheet16";#N/A,#N/A,FALSE,"Sheet16"}</definedName>
    <definedName name="____ＭＭＳ05" hidden="1">{#N/A,#N/A,FALSE,"Sheet16";#N/A,#N/A,FALSE,"Sheet16"}</definedName>
    <definedName name="____WRM18" localSheetId="0" hidden="1">{#N/A,#N/A,FALSE,"Sheet16";#N/A,#N/A,FALSE,"Sheet16"}</definedName>
    <definedName name="____WRM18" localSheetId="1" hidden="1">{#N/A,#N/A,FALSE,"Sheet16";#N/A,#N/A,FALSE,"Sheet16"}</definedName>
    <definedName name="____WRM18" hidden="1">{#N/A,#N/A,FALSE,"Sheet16";#N/A,#N/A,FALSE,"Sheet16"}</definedName>
    <definedName name="___ＭＭＳ05" localSheetId="0" hidden="1">{#N/A,#N/A,FALSE,"Sheet16";#N/A,#N/A,FALSE,"Sheet16"}</definedName>
    <definedName name="___ＭＭＳ05" localSheetId="1" hidden="1">{#N/A,#N/A,FALSE,"Sheet16";#N/A,#N/A,FALSE,"Sheet16"}</definedName>
    <definedName name="___ＭＭＳ05" hidden="1">{#N/A,#N/A,FALSE,"Sheet16";#N/A,#N/A,FALSE,"Sheet16"}</definedName>
    <definedName name="___WRM18" localSheetId="0" hidden="1">{#N/A,#N/A,FALSE,"Sheet16";#N/A,#N/A,FALSE,"Sheet16"}</definedName>
    <definedName name="___WRM18" localSheetId="1" hidden="1">{#N/A,#N/A,FALSE,"Sheet16";#N/A,#N/A,FALSE,"Sheet16"}</definedName>
    <definedName name="___WRM18" hidden="1">{#N/A,#N/A,FALSE,"Sheet16";#N/A,#N/A,FALSE,"Sheet16"}</definedName>
    <definedName name="__123Graph_A外装" hidden="1">[1]仮設躯体!#REF!</definedName>
    <definedName name="__123Graph_A躯体" hidden="1">[1]仮設躯体!#REF!</definedName>
    <definedName name="__123Graph_A建築" hidden="1">[1]仮設躯体!#REF!</definedName>
    <definedName name="__123Graph_A室内" hidden="1">[1]仮設躯体!#REF!</definedName>
    <definedName name="__123Graph_A土工" hidden="1">[1]仮設躯体!#REF!</definedName>
    <definedName name="__123Graph_A内装" hidden="1">[1]仮設躯体!#REF!</definedName>
    <definedName name="__123Graph_X" hidden="1">[2]配線器具!#REF!</definedName>
    <definedName name="__123Graph_X外装" hidden="1">[1]仮設躯体!#REF!</definedName>
    <definedName name="__123Graph_X躯体" hidden="1">[1]仮設躯体!#REF!</definedName>
    <definedName name="__123Graph_X建築" hidden="1">[1]仮設躯体!#REF!</definedName>
    <definedName name="__123Graph_X室内" hidden="1">[1]仮設躯体!#REF!</definedName>
    <definedName name="__123Graph_X土工" hidden="1">[1]仮設躯体!#REF!</definedName>
    <definedName name="__123Graph_X内装" hidden="1">[1]仮設躯体!#REF!</definedName>
    <definedName name="__ＭＭＳ05" localSheetId="0" hidden="1">{#N/A,#N/A,FALSE,"Sheet16";#N/A,#N/A,FALSE,"Sheet16"}</definedName>
    <definedName name="__ＭＭＳ05" localSheetId="1" hidden="1">{#N/A,#N/A,FALSE,"Sheet16";#N/A,#N/A,FALSE,"Sheet16"}</definedName>
    <definedName name="__ＭＭＳ05" hidden="1">{#N/A,#N/A,FALSE,"Sheet16";#N/A,#N/A,FALSE,"Sheet16"}</definedName>
    <definedName name="__WRM18" localSheetId="0" hidden="1">{#N/A,#N/A,FALSE,"Sheet16";#N/A,#N/A,FALSE,"Sheet16"}</definedName>
    <definedName name="__WRM18" localSheetId="1" hidden="1">{#N/A,#N/A,FALSE,"Sheet16";#N/A,#N/A,FALSE,"Sheet16"}</definedName>
    <definedName name="__WRM18" hidden="1">{#N/A,#N/A,FALSE,"Sheet16";#N/A,#N/A,FALSE,"Sheet16"}</definedName>
    <definedName name="_1__123Graph_Aｸﾞﾗﾌ_1" hidden="1">#REF!</definedName>
    <definedName name="＿123" hidden="1">[3]土工事!#REF!</definedName>
    <definedName name="_2__123Graph_Aｸﾞﾗﾌ_2" hidden="1">[4]経費計算表!$C$54:$C$58</definedName>
    <definedName name="_2__123Graph_Xｸﾞﾗﾌ_1" hidden="1">#REF!</definedName>
    <definedName name="_3__123Graph_Xｸﾞﾗﾌ_1" hidden="1">[4]経費計算表!$B$37:$B$41</definedName>
    <definedName name="_4__123Graph_Xｸﾞﾗﾌ_2" hidden="1">[4]経費計算表!$B$54:$B$58</definedName>
    <definedName name="_9ｋ1_" localSheetId="0" hidden="1">{#N/A,#N/A,FALSE,"Sheet16";#N/A,#N/A,FALSE,"Sheet16"}</definedName>
    <definedName name="_9ｋ1_" localSheetId="1" hidden="1">{#N/A,#N/A,FALSE,"Sheet16";#N/A,#N/A,FALSE,"Sheet16"}</definedName>
    <definedName name="_9ｋ1_" hidden="1">{#N/A,#N/A,FALSE,"Sheet16";#N/A,#N/A,FALSE,"Sheet16"}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[5]提出雨新!#REF!</definedName>
    <definedName name="_Key2" hidden="1">#REF!</definedName>
    <definedName name="_ＭＭＳ05" localSheetId="0" hidden="1">{#N/A,#N/A,FALSE,"Sheet16";#N/A,#N/A,FALSE,"Sheet16"}</definedName>
    <definedName name="_ＭＭＳ05" localSheetId="1" hidden="1">{#N/A,#N/A,FALSE,"Sheet16";#N/A,#N/A,FALSE,"Sheet16"}</definedName>
    <definedName name="_ＭＭＳ05" hidden="1">{#N/A,#N/A,FALSE,"Sheet16";#N/A,#N/A,FALSE,"Sheet16"}</definedName>
    <definedName name="_Order1" hidden="1">255</definedName>
    <definedName name="_Order2" hidden="1">255</definedName>
    <definedName name="_P1">#REF!</definedName>
    <definedName name="_Regression_Int" hidden="1">1</definedName>
    <definedName name="_Sort" hidden="1">[5]提出雨新!#REF!</definedName>
    <definedName name="_Table1_In1" hidden="1">#REF!</definedName>
    <definedName name="_Table1_Out" hidden="1">#REF!</definedName>
    <definedName name="_Table2_In1" hidden="1">#REF!</definedName>
    <definedName name="_win21" localSheetId="0" hidden="1">{#N/A,#N/A,FALSE,"Sheet16";#N/A,#N/A,FALSE,"Sheet16"}</definedName>
    <definedName name="_win21" localSheetId="1" hidden="1">{#N/A,#N/A,FALSE,"Sheet16";#N/A,#N/A,FALSE,"Sheet16"}</definedName>
    <definedName name="_win21" hidden="1">{#N/A,#N/A,FALSE,"Sheet16";#N/A,#N/A,FALSE,"Sheet16"}</definedName>
    <definedName name="_WRM18" localSheetId="0" hidden="1">{#N/A,#N/A,FALSE,"Sheet16";#N/A,#N/A,FALSE,"Sheet16"}</definedName>
    <definedName name="_WRM18" localSheetId="1" hidden="1">{#N/A,#N/A,FALSE,"Sheet16";#N/A,#N/A,FALSE,"Sheet16"}</definedName>
    <definedName name="_WRM18" hidden="1">{#N/A,#N/A,FALSE,"Sheet16";#N/A,#N/A,FALSE,"Sheet16"}</definedName>
    <definedName name="\1">#REF!</definedName>
    <definedName name="\2">#REF!</definedName>
    <definedName name="\a">#REF!</definedName>
    <definedName name="\p">#REF!</definedName>
    <definedName name="Ⅱ" localSheetId="0" hidden="1">{#N/A,#N/A,FALSE,"Sheet16";#N/A,#N/A,FALSE,"Sheet16"}</definedName>
    <definedName name="Ⅱ" localSheetId="1" hidden="1">{#N/A,#N/A,FALSE,"Sheet16";#N/A,#N/A,FALSE,"Sheet16"}</definedName>
    <definedName name="Ⅱ" hidden="1">{#N/A,#N/A,FALSE,"Sheet16";#N/A,#N/A,FALSE,"Sheet16"}</definedName>
    <definedName name="Ⅲ" localSheetId="0" hidden="1">{#N/A,#N/A,FALSE,"Sheet16";#N/A,#N/A,FALSE,"Sheet16"}</definedName>
    <definedName name="Ⅲ" localSheetId="1" hidden="1">{#N/A,#N/A,FALSE,"Sheet16";#N/A,#N/A,FALSE,"Sheet16"}</definedName>
    <definedName name="Ⅲ" hidden="1">{#N/A,#N/A,FALSE,"Sheet16";#N/A,#N/A,FALSE,"Sheet16"}</definedName>
    <definedName name="A" hidden="1">[6]見積比較!#REF!</definedName>
    <definedName name="aa" localSheetId="0" hidden="1">{#N/A,#N/A,FALSE,"EDIT_W"}</definedName>
    <definedName name="aa" localSheetId="1" hidden="1">{#N/A,#N/A,FALSE,"EDIT_W"}</definedName>
    <definedName name="aa" hidden="1">{#N/A,#N/A,FALSE,"EDIT_W"}</definedName>
    <definedName name="ａａａ">#REF!</definedName>
    <definedName name="AccessDatabase" hidden="1">"C:\My Documents\キンニャモニャセンター計算集計1.mdb"</definedName>
    <definedName name="ax" hidden="1">#REF!</definedName>
    <definedName name="AXX" hidden="1">#REF!</definedName>
    <definedName name="az" hidden="1">#REF!</definedName>
    <definedName name="AZZ" hidden="1">#REF!</definedName>
    <definedName name="Ｂ" hidden="1">#REF!</definedName>
    <definedName name="bb" hidden="1">{#N/A,#N/A,FALSE,"内訳書";#N/A,#N/A,FALSE,"見積比較表";#N/A,#N/A,FALSE,"複合単価";#N/A,#N/A,FALSE,"拾出表"}</definedName>
    <definedName name="bbb">#REF!</definedName>
    <definedName name="ｂｂｂｂｂ" localSheetId="0" hidden="1">{#N/A,#N/A,FALSE,"Sheet16";#N/A,#N/A,FALSE,"Sheet16"}</definedName>
    <definedName name="ｂｂｂｂｂ" localSheetId="1" hidden="1">{#N/A,#N/A,FALSE,"Sheet16";#N/A,#N/A,FALSE,"Sheet16"}</definedName>
    <definedName name="ｂｂｂｂｂ" hidden="1">{#N/A,#N/A,FALSE,"Sheet16";#N/A,#N/A,FALSE,"Sheet16"}</definedName>
    <definedName name="B下り" localSheetId="0" hidden="1">{#N/A,#N/A,FALSE,"Sheet16";#N/A,#N/A,FALSE,"Sheet16"}</definedName>
    <definedName name="B下り" localSheetId="1" hidden="1">{#N/A,#N/A,FALSE,"Sheet16";#N/A,#N/A,FALSE,"Sheet16"}</definedName>
    <definedName name="B下り" hidden="1">{#N/A,#N/A,FALSE,"Sheet16";#N/A,#N/A,FALSE,"Sheet16"}</definedName>
    <definedName name="B工種別" localSheetId="0" hidden="1">{#N/A,#N/A,FALSE,"Sheet16";#N/A,#N/A,FALSE,"Sheet16"}</definedName>
    <definedName name="B工種別" localSheetId="1" hidden="1">{#N/A,#N/A,FALSE,"Sheet16";#N/A,#N/A,FALSE,"Sheet16"}</definedName>
    <definedName name="B工種別" hidden="1">{#N/A,#N/A,FALSE,"Sheet16";#N/A,#N/A,FALSE,"Sheet16"}</definedName>
    <definedName name="cc" hidden="1">{#N/A,#N/A,FALSE,"内訳書";#N/A,#N/A,FALSE,"見積比較表";#N/A,#N/A,FALSE,"複合単価";#N/A,#N/A,FALSE,"拾出表"}</definedName>
    <definedName name="ccc">#REF!</definedName>
    <definedName name="dd" localSheetId="0" hidden="1">{#N/A,#N/A,FALSE,"EDIT_W"}</definedName>
    <definedName name="dd" localSheetId="1" hidden="1">{#N/A,#N/A,FALSE,"EDIT_W"}</definedName>
    <definedName name="dd" hidden="1">{#N/A,#N/A,FALSE,"EDIT_W"}</definedName>
    <definedName name="ddd">#REF!</definedName>
    <definedName name="eee">#REF!</definedName>
    <definedName name="fax" hidden="1">#REF!</definedName>
    <definedName name="ｆｄさふぁ" hidden="1">#REF!</definedName>
    <definedName name="ff" hidden="1">{#N/A,#N/A,FALSE,"EDIT_W"}</definedName>
    <definedName name="gg" hidden="1">{#N/A,#N/A,FALSE,"内訳書";#N/A,#N/A,FALSE,"見積比較表";#N/A,#N/A,FALSE,"複合単価";#N/A,#N/A,FALSE,"拾出表"}</definedName>
    <definedName name="ＧＳ勝央" localSheetId="0" hidden="1">{#N/A,#N/A,FALSE,"Sheet16";#N/A,#N/A,FALSE,"Sheet16"}</definedName>
    <definedName name="ＧＳ勝央" localSheetId="1" hidden="1">{#N/A,#N/A,FALSE,"Sheet16";#N/A,#N/A,FALSE,"Sheet16"}</definedName>
    <definedName name="ＧＳ勝央" hidden="1">{#N/A,#N/A,FALSE,"Sheet16";#N/A,#N/A,FALSE,"Sheet16"}</definedName>
    <definedName name="hh" hidden="1">#REF!</definedName>
    <definedName name="IN_KNN">#REF!</definedName>
    <definedName name="IV電線">[7]!IV電線</definedName>
    <definedName name="kk" hidden="1">#REF!</definedName>
    <definedName name="ｋｋｋ" hidden="1">#REF!</definedName>
    <definedName name="ｋｙ" localSheetId="0" hidden="1">{#N/A,#N/A,FALSE,"Sheet16";#N/A,#N/A,FALSE,"Sheet16"}</definedName>
    <definedName name="ｋｙ" localSheetId="1" hidden="1">{#N/A,#N/A,FALSE,"Sheet16";#N/A,#N/A,FALSE,"Sheet16"}</definedName>
    <definedName name="ｋｙ" hidden="1">{#N/A,#N/A,FALSE,"Sheet16";#N/A,#N/A,FALSE,"Sheet16"}</definedName>
    <definedName name="ｌｌｌ" localSheetId="0" hidden="1">{#N/A,#N/A,FALSE,"Sheet16";#N/A,#N/A,FALSE,"Sheet16"}</definedName>
    <definedName name="ｌｌｌ" localSheetId="1" hidden="1">{#N/A,#N/A,FALSE,"Sheet16";#N/A,#N/A,FALSE,"Sheet16"}</definedName>
    <definedName name="ｌｌｌ" hidden="1">{#N/A,#N/A,FALSE,"Sheet16";#N/A,#N/A,FALSE,"Sheet16"}</definedName>
    <definedName name="ｍ" localSheetId="0" hidden="1">{#N/A,#N/A,FALSE,"Sheet16";#N/A,#N/A,FALSE,"Sheet16"}</definedName>
    <definedName name="ｍ" localSheetId="1" hidden="1">{#N/A,#N/A,FALSE,"Sheet16";#N/A,#N/A,FALSE,"Sheet16"}</definedName>
    <definedName name="ｍ" hidden="1">{#N/A,#N/A,FALSE,"Sheet16";#N/A,#N/A,FALSE,"Sheet16"}</definedName>
    <definedName name="Module12.キャンセル">[8]!Module12.キャンセル</definedName>
    <definedName name="nddt" hidden="1">#REF!</definedName>
    <definedName name="PR_KBN">#REF!</definedName>
    <definedName name="PR_MSG">#REF!</definedName>
    <definedName name="_xlnm.Print_Area" localSheetId="6">プルボックス・盤!$A$1:$P$138</definedName>
    <definedName name="_xlnm.Print_Area" localSheetId="0">工事費!$A$1:$H$36</definedName>
    <definedName name="_xlnm.Print_Area" localSheetId="4">弱電ケーブル!$A$1:$P$77</definedName>
    <definedName name="_xlnm.Print_Area" localSheetId="3">電線・ｹｰﾌﾞﾙ!$A$1:$P$79</definedName>
    <definedName name="_xlnm.Print_Area" localSheetId="2">配管関係!$A$1:$J$100</definedName>
    <definedName name="_xlnm.Print_Area" localSheetId="5">配線器具!$A$1:$O$34</definedName>
    <definedName name="_xlnm.Print_Area">#REF!</definedName>
    <definedName name="Print_Area_MI">#REF!</definedName>
    <definedName name="_xlnm.Print_Titles" localSheetId="1">電気設備工事!$1:$2</definedName>
    <definedName name="qq" localSheetId="0" hidden="1">{#N/A,#N/A,FALSE,"Sheet16";#N/A,#N/A,FALSE,"Sheet16"}</definedName>
    <definedName name="qq" localSheetId="1" hidden="1">{#N/A,#N/A,FALSE,"Sheet16";#N/A,#N/A,FALSE,"Sheet16"}</definedName>
    <definedName name="qq" hidden="1">{#N/A,#N/A,FALSE,"Sheet16";#N/A,#N/A,FALSE,"Sheet16"}</definedName>
    <definedName name="qr" hidden="1">#REF!</definedName>
    <definedName name="qt" hidden="1">#REF!</definedName>
    <definedName name="Record16">[8]!Record16</definedName>
    <definedName name="sitasita" localSheetId="0" hidden="1">{#N/A,#N/A,FALSE,"Sheet16";#N/A,#N/A,FALSE,"Sheet16"}</definedName>
    <definedName name="sitasita" localSheetId="1" hidden="1">{#N/A,#N/A,FALSE,"Sheet16";#N/A,#N/A,FALSE,"Sheet16"}</definedName>
    <definedName name="sitasita" hidden="1">{#N/A,#N/A,FALSE,"Sheet16";#N/A,#N/A,FALSE,"Sheet16"}</definedName>
    <definedName name="ＳＳ" localSheetId="0" hidden="1">{#N/A,#N/A,FALSE,"Sheet16";#N/A,#N/A,FALSE,"Sheet16"}</definedName>
    <definedName name="ＳＳ" localSheetId="1" hidden="1">{#N/A,#N/A,FALSE,"Sheet16";#N/A,#N/A,FALSE,"Sheet16"}</definedName>
    <definedName name="ＳＳ" hidden="1">{#N/A,#N/A,FALSE,"Sheet16";#N/A,#N/A,FALSE,"Sheet16"}</definedName>
    <definedName name="ＳだＦＦ" localSheetId="0" hidden="1">{#N/A,#N/A,FALSE,"表紙No2";#N/A,#N/A,FALSE,"データNo2"}</definedName>
    <definedName name="ＳだＦＦ" localSheetId="1" hidden="1">{#N/A,#N/A,FALSE,"表紙No2";#N/A,#N/A,FALSE,"データNo2"}</definedName>
    <definedName name="ＳだＦＦ" hidden="1">{#N/A,#N/A,FALSE,"表紙No2";#N/A,#N/A,FALSE,"データNo2"}</definedName>
    <definedName name="UP率">[7]!UP率</definedName>
    <definedName name="wrn.１７." localSheetId="0" hidden="1">{#N/A,#N/A,FALSE,"Sheet16";#N/A,#N/A,FALSE,"Sheet16"}</definedName>
    <definedName name="wrn.１７." localSheetId="1" hidden="1">{#N/A,#N/A,FALSE,"Sheet16";#N/A,#N/A,FALSE,"Sheet16"}</definedName>
    <definedName name="wrn.１７." hidden="1">{#N/A,#N/A,FALSE,"Sheet16";#N/A,#N/A,FALSE,"Sheet16"}</definedName>
    <definedName name="wrn.18." localSheetId="0" hidden="1">{#N/A,#N/A,FALSE,"Sheet16";#N/A,#N/A,FALSE,"Sheet16"}</definedName>
    <definedName name="wrn.18." localSheetId="1" hidden="1">{#N/A,#N/A,FALSE,"Sheet16";#N/A,#N/A,FALSE,"Sheet16"}</definedName>
    <definedName name="wrn.18." hidden="1">{#N/A,#N/A,FALSE,"Sheet16";#N/A,#N/A,FALSE,"Sheet16"}</definedName>
    <definedName name="wrn.20." localSheetId="0" hidden="1">{#N/A,#N/A,FALSE,"Sheet16";#N/A,#N/A,FALSE,"Sheet16"}</definedName>
    <definedName name="wrn.20." localSheetId="1" hidden="1">{#N/A,#N/A,FALSE,"Sheet16";#N/A,#N/A,FALSE,"Sheet16"}</definedName>
    <definedName name="wrn.20." hidden="1">{#N/A,#N/A,FALSE,"Sheet16";#N/A,#N/A,FALSE,"Sheet16"}</definedName>
    <definedName name="wrn.Allprint." localSheetId="0" hidden="1">{#N/A,#N/A,FALSE,"表紙No2";#N/A,#N/A,FALSE,"データNo2"}</definedName>
    <definedName name="wrn.Allprint." localSheetId="1" hidden="1">{#N/A,#N/A,FALSE,"表紙No2";#N/A,#N/A,FALSE,"データNo2"}</definedName>
    <definedName name="wrn.Allprint." hidden="1">{#N/A,#N/A,FALSE,"表紙No2";#N/A,#N/A,FALSE,"データNo2"}</definedName>
    <definedName name="wrn.TEST001." localSheetId="0" hidden="1">{#N/A,#N/A,FALSE,"EDIT_W"}</definedName>
    <definedName name="wrn.TEST001." localSheetId="1" hidden="1">{#N/A,#N/A,FALSE,"EDIT_W"}</definedName>
    <definedName name="wrn.TEST001." hidden="1">{#N/A,#N/A,FALSE,"EDIT_W"}</definedName>
    <definedName name="wrn.綾羅木項目." localSheetId="0" hidden="1">{#N/A,#N/A,FALSE,"合計";#N/A,#N/A,FALSE,"綾羅木SC";#N/A,#N/A,FALSE,"FR棟";#N/A,#N/A,FALSE,"ﾐｽﾀｰﾏｯｸｽ"}</definedName>
    <definedName name="wrn.綾羅木項目." localSheetId="1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印刷." localSheetId="0" hidden="1">{#N/A,#N/A,FALSE,"日野";#N/A,#N/A,FALSE,"豊田町";#N/A,#N/A,FALSE,"勝北小"}</definedName>
    <definedName name="wrn.印刷." localSheetId="1" hidden="1">{#N/A,#N/A,FALSE,"日野";#N/A,#N/A,FALSE,"豊田町";#N/A,#N/A,FALSE,"勝北小"}</definedName>
    <definedName name="wrn.印刷." hidden="1">{#N/A,#N/A,FALSE,"日野";#N/A,#N/A,FALSE,"豊田町";#N/A,#N/A,FALSE,"勝北小"}</definedName>
    <definedName name="wrn.妙円寺_8." localSheetId="0" hidden="1">{#N/A,#N/A,FALSE,"内訳書";#N/A,#N/A,FALSE,"見積比較表";#N/A,#N/A,FALSE,"複合単価";#N/A,#N/A,FALSE,"拾出表"}</definedName>
    <definedName name="wrn.妙円寺_8." localSheetId="1" hidden="1">{#N/A,#N/A,FALSE,"内訳書";#N/A,#N/A,FALSE,"見積比較表";#N/A,#N/A,FALSE,"複合単価";#N/A,#N/A,FALSE,"拾出表"}</definedName>
    <definedName name="wrn.妙円寺_8." hidden="1">{#N/A,#N/A,FALSE,"内訳書";#N/A,#N/A,FALSE,"見積比較表";#N/A,#N/A,FALSE,"複合単価";#N/A,#N/A,FALSE,"拾出表"}</definedName>
    <definedName name="x" localSheetId="0" hidden="1">{#N/A,#N/A,FALSE,"内訳書";#N/A,#N/A,FALSE,"見積比較表";#N/A,#N/A,FALSE,"複合単価";#N/A,#N/A,FALSE,"拾出表"}</definedName>
    <definedName name="x" localSheetId="1" hidden="1">{#N/A,#N/A,FALSE,"内訳書";#N/A,#N/A,FALSE,"見積比較表";#N/A,#N/A,FALSE,"複合単価";#N/A,#N/A,FALSE,"拾出表"}</definedName>
    <definedName name="x" hidden="1">{#N/A,#N/A,FALSE,"内訳書";#N/A,#N/A,FALSE,"見積比較表";#N/A,#N/A,FALSE,"複合単価";#N/A,#N/A,FALSE,"拾出表"}</definedName>
    <definedName name="xc" hidden="1">#REF!</definedName>
    <definedName name="xx" hidden="1">#REF!</definedName>
    <definedName name="z" localSheetId="0" hidden="1">{#N/A,#N/A,FALSE,"EDIT_W"}</definedName>
    <definedName name="z" localSheetId="1" hidden="1">{#N/A,#N/A,FALSE,"EDIT_W"}</definedName>
    <definedName name="z" hidden="1">{#N/A,#N/A,FALSE,"EDIT_W"}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zc" hidden="1">#REF!</definedName>
    <definedName name="ZCC" hidden="1">#REF!</definedName>
    <definedName name="zjj" hidden="1">#REF!</definedName>
    <definedName name="zx" hidden="1">#REF!</definedName>
    <definedName name="ZXX" hidden="1">#REF!</definedName>
    <definedName name="ああ" hidden="1">#REF!</definedName>
    <definedName name="キャンセル">[9]!キャンセル</definedName>
    <definedName name="け" localSheetId="0" hidden="1">{#N/A,#N/A,FALSE,"表紙No2";#N/A,#N/A,FALSE,"データNo2"}</definedName>
    <definedName name="け" localSheetId="1" hidden="1">{#N/A,#N/A,FALSE,"表紙No2";#N/A,#N/A,FALSE,"データNo2"}</definedName>
    <definedName name="け" hidden="1">{#N/A,#N/A,FALSE,"表紙No2";#N/A,#N/A,FALSE,"データNo2"}</definedName>
    <definedName name="コントロｰ・">[10]!コントロｰ・</definedName>
    <definedName name="スイッチ">[9]!スイッチ</definedName>
    <definedName name="スイッチ入力">[9]!スイッチ入力</definedName>
    <definedName name="スタイル">#REF!</definedName>
    <definedName name="スポット感知器">[7]!UP率</definedName>
    <definedName name="た">[11]!IV電線</definedName>
    <definedName name="っｄ" hidden="1">#REF!</definedName>
    <definedName name="印刷">#REF!</definedName>
    <definedName name="印刷05">#REF!</definedName>
    <definedName name="印刷10">#REF!</definedName>
    <definedName name="印刷20">#REF!</definedName>
    <definedName name="印刷30">#REF!</definedName>
    <definedName name="印刷40">#REF!</definedName>
    <definedName name="印刷50">#REF!</definedName>
    <definedName name="印刷EX">#REF!</definedName>
    <definedName name="屋外給水" localSheetId="0" hidden="1">{#N/A,#N/A,FALSE,"表紙No2";#N/A,#N/A,FALSE,"データNo2"}</definedName>
    <definedName name="屋外給水" localSheetId="1" hidden="1">{#N/A,#N/A,FALSE,"表紙No2";#N/A,#N/A,FALSE,"データNo2"}</definedName>
    <definedName name="屋外給水" hidden="1">{#N/A,#N/A,FALSE,"表紙No2";#N/A,#N/A,FALSE,"データNo2"}</definedName>
    <definedName name="下" localSheetId="0" hidden="1">{#N/A,#N/A,FALSE,"Sheet16";#N/A,#N/A,FALSE,"Sheet16"}</definedName>
    <definedName name="下" localSheetId="1" hidden="1">{#N/A,#N/A,FALSE,"Sheet16";#N/A,#N/A,FALSE,"Sheet16"}</definedName>
    <definedName name="下" hidden="1">{#N/A,#N/A,FALSE,"Sheet16";#N/A,#N/A,FALSE,"Sheet16"}</definedName>
    <definedName name="下り線" localSheetId="0" hidden="1">{#N/A,#N/A,FALSE,"Sheet16";#N/A,#N/A,FALSE,"Sheet16"}</definedName>
    <definedName name="下り線" localSheetId="1" hidden="1">{#N/A,#N/A,FALSE,"Sheet16";#N/A,#N/A,FALSE,"Sheet16"}</definedName>
    <definedName name="下り線" hidden="1">{#N/A,#N/A,FALSE,"Sheet16";#N/A,#N/A,FALSE,"Sheet16"}</definedName>
    <definedName name="下区" hidden="1">#REF!</definedName>
    <definedName name="外灯" hidden="1">#REF!</definedName>
    <definedName name="環境測定" hidden="1">[6]見積比較!#REF!</definedName>
    <definedName name="既成コンクリート" localSheetId="0" hidden="1">{#N/A,#N/A,FALSE,"表紙No2";#N/A,#N/A,FALSE,"データNo2"}</definedName>
    <definedName name="既成コンクリート" localSheetId="1" hidden="1">{#N/A,#N/A,FALSE,"表紙No2";#N/A,#N/A,FALSE,"データNo2"}</definedName>
    <definedName name="既成コンクリート" hidden="1">{#N/A,#N/A,FALSE,"表紙No2";#N/A,#N/A,FALSE,"データNo2"}</definedName>
    <definedName name="機械設備" hidden="1">[12]土工事!#REF!</definedName>
    <definedName name="機器" localSheetId="0" hidden="1">{#N/A,#N/A,FALSE,"Sheet16";#N/A,#N/A,FALSE,"Sheet16"}</definedName>
    <definedName name="機器" localSheetId="1" hidden="1">{#N/A,#N/A,FALSE,"Sheet16";#N/A,#N/A,FALSE,"Sheet16"}</definedName>
    <definedName name="機器" hidden="1">{#N/A,#N/A,FALSE,"Sheet16";#N/A,#N/A,FALSE,"Sheet16"}</definedName>
    <definedName name="機器1" localSheetId="0" hidden="1">{#N/A,#N/A,FALSE,"Sheet16";#N/A,#N/A,FALSE,"Sheet16"}</definedName>
    <definedName name="機器1" localSheetId="1" hidden="1">{#N/A,#N/A,FALSE,"Sheet16";#N/A,#N/A,FALSE,"Sheet16"}</definedName>
    <definedName name="機器1" hidden="1">{#N/A,#N/A,FALSE,"Sheet16";#N/A,#N/A,FALSE,"Sheet16"}</definedName>
    <definedName name="機種">[13]!機種</definedName>
    <definedName name="給油設備" localSheetId="0" hidden="1">{#N/A,#N/A,FALSE,"Sheet16";#N/A,#N/A,FALSE,"Sheet16"}</definedName>
    <definedName name="給油設備" localSheetId="1" hidden="1">{#N/A,#N/A,FALSE,"Sheet16";#N/A,#N/A,FALSE,"Sheet16"}</definedName>
    <definedName name="給油設備" hidden="1">{#N/A,#N/A,FALSE,"Sheet16";#N/A,#N/A,FALSE,"Sheet16"}</definedName>
    <definedName name="給油設備内訳" localSheetId="0" hidden="1">{#N/A,#N/A,FALSE,"Sheet16";#N/A,#N/A,FALSE,"Sheet16"}</definedName>
    <definedName name="給油設備内訳" localSheetId="1" hidden="1">{#N/A,#N/A,FALSE,"Sheet16";#N/A,#N/A,FALSE,"Sheet16"}</definedName>
    <definedName name="給油設備内訳" hidden="1">{#N/A,#N/A,FALSE,"Sheet16";#N/A,#N/A,FALSE,"Sheet16"}</definedName>
    <definedName name="玖珂上下一位代価" localSheetId="0" hidden="1">{#N/A,#N/A,FALSE,"Sheet16";#N/A,#N/A,FALSE,"Sheet16"}</definedName>
    <definedName name="玖珂上下一位代価" localSheetId="1" hidden="1">{#N/A,#N/A,FALSE,"Sheet16";#N/A,#N/A,FALSE,"Sheet16"}</definedName>
    <definedName name="玖珂上下一位代価" hidden="1">{#N/A,#N/A,FALSE,"Sheet16";#N/A,#N/A,FALSE,"Sheet16"}</definedName>
    <definedName name="玖珂上見積比較表" localSheetId="0" hidden="1">{#N/A,#N/A,FALSE,"Sheet16";#N/A,#N/A,FALSE,"Sheet16"}</definedName>
    <definedName name="玖珂上見積比較表" localSheetId="1" hidden="1">{#N/A,#N/A,FALSE,"Sheet16";#N/A,#N/A,FALSE,"Sheet16"}</definedName>
    <definedName name="玖珂上見積比較表" hidden="1">{#N/A,#N/A,FALSE,"Sheet16";#N/A,#N/A,FALSE,"Sheet16"}</definedName>
    <definedName name="玖珂上単価比較表" localSheetId="0" hidden="1">{#N/A,#N/A,FALSE,"Sheet16";#N/A,#N/A,FALSE,"Sheet16"}</definedName>
    <definedName name="玖珂上単価比較表" localSheetId="1" hidden="1">{#N/A,#N/A,FALSE,"Sheet16";#N/A,#N/A,FALSE,"Sheet16"}</definedName>
    <definedName name="玖珂上単価比較表" hidden="1">{#N/A,#N/A,FALSE,"Sheet16";#N/A,#N/A,FALSE,"Sheet16"}</definedName>
    <definedName name="空調機複合単価" localSheetId="0" hidden="1">{#N/A,#N/A,FALSE,"EDIT_W"}</definedName>
    <definedName name="空調機複合単価" localSheetId="1" hidden="1">{#N/A,#N/A,FALSE,"EDIT_W"}</definedName>
    <definedName name="空調機複合単価" hidden="1">{#N/A,#N/A,FALSE,"EDIT_W"}</definedName>
    <definedName name="型枠" hidden="1">{#N/A,#N/A,FALSE,"表紙No2";#N/A,#N/A,FALSE,"データNo2"}</definedName>
    <definedName name="経費２" hidden="1">#REF!</definedName>
    <definedName name="原稿" localSheetId="0" hidden="1">{#N/A,#N/A,FALSE,"日野";#N/A,#N/A,FALSE,"豊田町";#N/A,#N/A,FALSE,"勝北小"}</definedName>
    <definedName name="原稿" localSheetId="1" hidden="1">{#N/A,#N/A,FALSE,"日野";#N/A,#N/A,FALSE,"豊田町";#N/A,#N/A,FALSE,"勝北小"}</definedName>
    <definedName name="原稿" hidden="1">{#N/A,#N/A,FALSE,"日野";#N/A,#N/A,FALSE,"豊田町";#N/A,#N/A,FALSE,"勝北小"}</definedName>
    <definedName name="光束">[13]!光束</definedName>
    <definedName name="項目選択">[10]!項目選択</definedName>
    <definedName name="指数">[13]!指数</definedName>
    <definedName name="指数コｰド">[13]!指数コｰド</definedName>
    <definedName name="小浜PA下り線" localSheetId="0" hidden="1">{#N/A,#N/A,FALSE,"Sheet16";#N/A,#N/A,FALSE,"Sheet16"}</definedName>
    <definedName name="小浜PA下り線" localSheetId="1" hidden="1">{#N/A,#N/A,FALSE,"Sheet16";#N/A,#N/A,FALSE,"Sheet16"}</definedName>
    <definedName name="小浜PA下り線" hidden="1">{#N/A,#N/A,FALSE,"Sheet16";#N/A,#N/A,FALSE,"Sheet16"}</definedName>
    <definedName name="照度計算">[14]!機種</definedName>
    <definedName name="照度計算書">[15]!機種</definedName>
    <definedName name="照明率１">[13]照明率１!$B$4:$BG$13</definedName>
    <definedName name="照明率２">[13]照明率２!$B$4:$U$13</definedName>
    <definedName name="証明率">[16]照明率２!$B$4:$U$13</definedName>
    <definedName name="上り線" localSheetId="0" hidden="1">{#N/A,#N/A,FALSE,"Sheet16";#N/A,#N/A,FALSE,"Sheet16"}</definedName>
    <definedName name="上り線" localSheetId="1" hidden="1">{#N/A,#N/A,FALSE,"Sheet16";#N/A,#N/A,FALSE,"Sheet16"}</definedName>
    <definedName name="上り線" hidden="1">{#N/A,#N/A,FALSE,"Sheet16";#N/A,#N/A,FALSE,"Sheet16"}</definedName>
    <definedName name="制気口類" hidden="1">#REF!</definedName>
    <definedName name="成績">[13]!成績</definedName>
    <definedName name="積算屋外" localSheetId="0" hidden="1">{#N/A,#N/A,FALSE,"表紙No2";#N/A,#N/A,FALSE,"データNo2"}</definedName>
    <definedName name="積算屋外" localSheetId="1" hidden="1">{#N/A,#N/A,FALSE,"表紙No2";#N/A,#N/A,FALSE,"データNo2"}</definedName>
    <definedName name="積算屋外" hidden="1">{#N/A,#N/A,FALSE,"表紙No2";#N/A,#N/A,FALSE,"データNo2"}</definedName>
    <definedName name="打合せ" hidden="1">#REF!</definedName>
    <definedName name="鉄骨計算集計1ページ用" localSheetId="0" hidden="1">{#N/A,#N/A,FALSE,"Sheet16";#N/A,#N/A,FALSE,"Sheet16"}</definedName>
    <definedName name="鉄骨計算集計1ページ用" localSheetId="1" hidden="1">{#N/A,#N/A,FALSE,"Sheet16";#N/A,#N/A,FALSE,"Sheet16"}</definedName>
    <definedName name="鉄骨計算集計1ページ用" hidden="1">{#N/A,#N/A,FALSE,"Sheet16";#N/A,#N/A,FALSE,"Sheet16"}</definedName>
    <definedName name="頭２" localSheetId="0" hidden="1">{#N/A,#N/A,FALSE,"Sheet16";#N/A,#N/A,FALSE,"Sheet16"}</definedName>
    <definedName name="頭２" localSheetId="1" hidden="1">{#N/A,#N/A,FALSE,"Sheet16";#N/A,#N/A,FALSE,"Sheet16"}</definedName>
    <definedName name="頭２" hidden="1">{#N/A,#N/A,FALSE,"Sheet16";#N/A,#N/A,FALSE,"Sheet16"}</definedName>
    <definedName name="頭5" localSheetId="0" hidden="1">{#N/A,#N/A,FALSE,"Sheet16";#N/A,#N/A,FALSE,"Sheet16"}</definedName>
    <definedName name="頭5" localSheetId="1" hidden="1">{#N/A,#N/A,FALSE,"Sheet16";#N/A,#N/A,FALSE,"Sheet16"}</definedName>
    <definedName name="頭5" hidden="1">{#N/A,#N/A,FALSE,"Sheet16";#N/A,#N/A,FALSE,"Sheet16"}</definedName>
    <definedName name="特別仮設工事" localSheetId="0" hidden="1">{#N/A,#N/A,FALSE,"Sheet16";#N/A,#N/A,FALSE,"Sheet16"}</definedName>
    <definedName name="特別仮設工事" localSheetId="1" hidden="1">{#N/A,#N/A,FALSE,"Sheet16";#N/A,#N/A,FALSE,"Sheet16"}</definedName>
    <definedName name="特別仮設工事" hidden="1">{#N/A,#N/A,FALSE,"Sheet16";#N/A,#N/A,FALSE,"Sheet16"}</definedName>
    <definedName name="特別架設工事" localSheetId="0" hidden="1">{#N/A,#N/A,FALSE,"Sheet16";#N/A,#N/A,FALSE,"Sheet16"}</definedName>
    <definedName name="特別架設工事" localSheetId="1" hidden="1">{#N/A,#N/A,FALSE,"Sheet16";#N/A,#N/A,FALSE,"Sheet16"}</definedName>
    <definedName name="特別架設工事" hidden="1">{#N/A,#N/A,FALSE,"Sheet16";#N/A,#N/A,FALSE,"Sheet16"}</definedName>
    <definedName name="特別架設工事２" localSheetId="0" hidden="1">{#N/A,#N/A,FALSE,"Sheet16";#N/A,#N/A,FALSE,"Sheet16"}</definedName>
    <definedName name="特別架設工事２" localSheetId="1" hidden="1">{#N/A,#N/A,FALSE,"Sheet16";#N/A,#N/A,FALSE,"Sheet16"}</definedName>
    <definedName name="特別架設工事２" hidden="1">{#N/A,#N/A,FALSE,"Sheet16";#N/A,#N/A,FALSE,"Sheet16"}</definedName>
    <definedName name="複合" hidden="1">#REF!</definedName>
    <definedName name="別1">#REF!</definedName>
    <definedName name="別10">#REF!</definedName>
    <definedName name="別11">#REF!</definedName>
    <definedName name="別12">#REF!</definedName>
    <definedName name="別13">#REF!</definedName>
    <definedName name="別14">#REF!</definedName>
    <definedName name="別15">#REF!</definedName>
    <definedName name="別16">#REF!</definedName>
    <definedName name="別17">#REF!</definedName>
    <definedName name="別18">#REF!</definedName>
    <definedName name="別19">#REF!</definedName>
    <definedName name="別2">#REF!</definedName>
    <definedName name="別20">#REF!</definedName>
    <definedName name="別21">#REF!</definedName>
    <definedName name="別22">#REF!</definedName>
    <definedName name="別23">#REF!</definedName>
    <definedName name="別24">#REF!</definedName>
    <definedName name="別25">#REF!</definedName>
    <definedName name="別3">#REF!</definedName>
    <definedName name="別4">#REF!</definedName>
    <definedName name="別5">#REF!</definedName>
    <definedName name="別6">#REF!</definedName>
    <definedName name="別7">#REF!</definedName>
    <definedName name="別8">#REF!</definedName>
    <definedName name="別9">#REF!</definedName>
    <definedName name="堀方" hidden="1">#REF!</definedName>
    <definedName name="明細R3" localSheetId="0" hidden="1">{#N/A,#N/A,FALSE,"Sheet16";#N/A,#N/A,FALSE,"Sheet16"}</definedName>
    <definedName name="明細R3" localSheetId="1" hidden="1">{#N/A,#N/A,FALSE,"Sheet16";#N/A,#N/A,FALSE,"Sheet16"}</definedName>
    <definedName name="明細R3" hidden="1">{#N/A,#N/A,FALSE,"Sheet16";#N/A,#N/A,FALSE,"Sheet16"}</definedName>
    <definedName name="労務費キャンセル">[9]!労務費キャンセル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2" l="1"/>
  <c r="G240" i="11" l="1"/>
  <c r="G12" i="11" s="1"/>
  <c r="P135" i="19" l="1"/>
  <c r="P134" i="19"/>
  <c r="R133" i="19"/>
  <c r="P133" i="19"/>
  <c r="J132" i="19"/>
  <c r="L132" i="19" s="1"/>
  <c r="N132" i="19" s="1"/>
  <c r="P131" i="19"/>
  <c r="P130" i="19"/>
  <c r="R129" i="19"/>
  <c r="S129" i="19" s="1"/>
  <c r="P129" i="19"/>
  <c r="J128" i="19"/>
  <c r="L128" i="19" s="1"/>
  <c r="N128" i="19" s="1"/>
  <c r="P127" i="19"/>
  <c r="P126" i="19"/>
  <c r="S125" i="19"/>
  <c r="R125" i="19"/>
  <c r="P125" i="19"/>
  <c r="J124" i="19"/>
  <c r="L124" i="19" s="1"/>
  <c r="N124" i="19" s="1"/>
  <c r="P123" i="19"/>
  <c r="P122" i="19"/>
  <c r="R121" i="19"/>
  <c r="S121" i="19" s="1"/>
  <c r="P121" i="19"/>
  <c r="J120" i="19"/>
  <c r="L120" i="19" s="1"/>
  <c r="N120" i="19" s="1"/>
  <c r="N136" i="19" s="1"/>
  <c r="O118" i="19"/>
  <c r="N118" i="19"/>
  <c r="R117" i="19"/>
  <c r="P117" i="19"/>
  <c r="R116" i="19"/>
  <c r="P116" i="19"/>
  <c r="K116" i="19"/>
  <c r="R115" i="19"/>
  <c r="P115" i="19"/>
  <c r="J114" i="19"/>
  <c r="L114" i="19" s="1"/>
  <c r="P114" i="19" s="1"/>
  <c r="R113" i="19"/>
  <c r="P113" i="19"/>
  <c r="R112" i="19"/>
  <c r="P112" i="19"/>
  <c r="K112" i="19"/>
  <c r="R111" i="19"/>
  <c r="P111" i="19"/>
  <c r="J110" i="19"/>
  <c r="L110" i="19" s="1"/>
  <c r="P110" i="19" s="1"/>
  <c r="R108" i="19"/>
  <c r="P108" i="19"/>
  <c r="R107" i="19"/>
  <c r="P107" i="19"/>
  <c r="K107" i="19"/>
  <c r="R106" i="19"/>
  <c r="P106" i="19"/>
  <c r="J105" i="19"/>
  <c r="L105" i="19" s="1"/>
  <c r="P105" i="19" s="1"/>
  <c r="R104" i="19"/>
  <c r="P104" i="19"/>
  <c r="R103" i="19"/>
  <c r="P103" i="19"/>
  <c r="K103" i="19"/>
  <c r="R102" i="19"/>
  <c r="P102" i="19"/>
  <c r="J101" i="19"/>
  <c r="L101" i="19" s="1"/>
  <c r="P101" i="19" s="1"/>
  <c r="R97" i="19"/>
  <c r="P97" i="19"/>
  <c r="R96" i="19"/>
  <c r="P96" i="19"/>
  <c r="K96" i="19"/>
  <c r="R95" i="19"/>
  <c r="P95" i="19"/>
  <c r="J94" i="19"/>
  <c r="L94" i="19" s="1"/>
  <c r="N94" i="19" s="1"/>
  <c r="R93" i="19"/>
  <c r="P93" i="19"/>
  <c r="R92" i="19"/>
  <c r="P92" i="19"/>
  <c r="K92" i="19"/>
  <c r="R91" i="19"/>
  <c r="P91" i="19"/>
  <c r="J90" i="19"/>
  <c r="L90" i="19" s="1"/>
  <c r="N90" i="19" s="1"/>
  <c r="R89" i="19"/>
  <c r="P89" i="19"/>
  <c r="R88" i="19"/>
  <c r="P88" i="19"/>
  <c r="K88" i="19"/>
  <c r="R87" i="19"/>
  <c r="P87" i="19"/>
  <c r="J86" i="19"/>
  <c r="L86" i="19" s="1"/>
  <c r="N86" i="19" s="1"/>
  <c r="R85" i="19"/>
  <c r="P85" i="19"/>
  <c r="R84" i="19"/>
  <c r="P84" i="19"/>
  <c r="K84" i="19"/>
  <c r="R83" i="19"/>
  <c r="P83" i="19"/>
  <c r="J82" i="19"/>
  <c r="L82" i="19" s="1"/>
  <c r="N82" i="19" s="1"/>
  <c r="R81" i="19"/>
  <c r="P81" i="19"/>
  <c r="R80" i="19"/>
  <c r="P80" i="19"/>
  <c r="K80" i="19"/>
  <c r="S79" i="19"/>
  <c r="R79" i="19"/>
  <c r="P79" i="19"/>
  <c r="J78" i="19"/>
  <c r="L78" i="19" s="1"/>
  <c r="N78" i="19" s="1"/>
  <c r="R76" i="19"/>
  <c r="P76" i="19"/>
  <c r="R75" i="19"/>
  <c r="P75" i="19"/>
  <c r="K75" i="19"/>
  <c r="R74" i="19"/>
  <c r="P74" i="19"/>
  <c r="J73" i="19"/>
  <c r="L73" i="19" s="1"/>
  <c r="O73" i="19" s="1"/>
  <c r="R72" i="19"/>
  <c r="P72" i="19"/>
  <c r="R71" i="19"/>
  <c r="P71" i="19"/>
  <c r="K71" i="19"/>
  <c r="R70" i="19"/>
  <c r="P70" i="19"/>
  <c r="J69" i="19"/>
  <c r="L69" i="19" s="1"/>
  <c r="O69" i="19" s="1"/>
  <c r="R68" i="19"/>
  <c r="P68" i="19"/>
  <c r="R67" i="19"/>
  <c r="P67" i="19"/>
  <c r="K67" i="19"/>
  <c r="R66" i="19"/>
  <c r="P66" i="19"/>
  <c r="J65" i="19"/>
  <c r="L65" i="19" s="1"/>
  <c r="O65" i="19" s="1"/>
  <c r="O62" i="19"/>
  <c r="R61" i="19"/>
  <c r="P61" i="19"/>
  <c r="R60" i="19"/>
  <c r="S60" i="19" s="1"/>
  <c r="P60" i="19"/>
  <c r="K60" i="19"/>
  <c r="R59" i="19"/>
  <c r="P59" i="19"/>
  <c r="J58" i="19"/>
  <c r="L58" i="19" s="1"/>
  <c r="N58" i="19" s="1"/>
  <c r="R57" i="19"/>
  <c r="P57" i="19"/>
  <c r="R56" i="19"/>
  <c r="P56" i="19"/>
  <c r="K56" i="19"/>
  <c r="R55" i="19"/>
  <c r="S55" i="19" s="1"/>
  <c r="P55" i="19"/>
  <c r="J54" i="19"/>
  <c r="L54" i="19" s="1"/>
  <c r="N54" i="19" s="1"/>
  <c r="R53" i="19"/>
  <c r="P53" i="19"/>
  <c r="R52" i="19"/>
  <c r="P52" i="19"/>
  <c r="K52" i="19"/>
  <c r="R51" i="19"/>
  <c r="P51" i="19"/>
  <c r="J50" i="19"/>
  <c r="L50" i="19" s="1"/>
  <c r="N50" i="19" s="1"/>
  <c r="R49" i="19"/>
  <c r="P49" i="19"/>
  <c r="R48" i="19"/>
  <c r="P48" i="19"/>
  <c r="K48" i="19"/>
  <c r="R47" i="19"/>
  <c r="P47" i="19"/>
  <c r="J46" i="19"/>
  <c r="L46" i="19" s="1"/>
  <c r="N46" i="19" s="1"/>
  <c r="R45" i="19"/>
  <c r="P45" i="19"/>
  <c r="R44" i="19"/>
  <c r="P44" i="19"/>
  <c r="K44" i="19"/>
  <c r="R43" i="19"/>
  <c r="S43" i="19" s="1"/>
  <c r="P43" i="19"/>
  <c r="J42" i="19"/>
  <c r="L42" i="19" s="1"/>
  <c r="N42" i="19" s="1"/>
  <c r="R41" i="19"/>
  <c r="P41" i="19"/>
  <c r="R40" i="19"/>
  <c r="P40" i="19"/>
  <c r="K40" i="19"/>
  <c r="R39" i="19"/>
  <c r="S39" i="19" s="1"/>
  <c r="P39" i="19"/>
  <c r="J38" i="19"/>
  <c r="L38" i="19" s="1"/>
  <c r="P38" i="19" s="1"/>
  <c r="R36" i="19"/>
  <c r="P36" i="19"/>
  <c r="R35" i="19"/>
  <c r="P35" i="19"/>
  <c r="K35" i="19"/>
  <c r="S34" i="19"/>
  <c r="R34" i="19"/>
  <c r="P34" i="19"/>
  <c r="J33" i="19"/>
  <c r="L33" i="19" s="1"/>
  <c r="N33" i="19" s="1"/>
  <c r="R32" i="19"/>
  <c r="S32" i="19" s="1"/>
  <c r="P32" i="19"/>
  <c r="R31" i="19"/>
  <c r="P31" i="19"/>
  <c r="K31" i="19"/>
  <c r="R30" i="19"/>
  <c r="P30" i="19"/>
  <c r="J29" i="19"/>
  <c r="L29" i="19" s="1"/>
  <c r="N29" i="19" s="1"/>
  <c r="N62" i="19" s="1"/>
  <c r="J25" i="19"/>
  <c r="L25" i="19" s="1"/>
  <c r="P25" i="19" s="1"/>
  <c r="S24" i="19"/>
  <c r="J24" i="19"/>
  <c r="L24" i="19" s="1"/>
  <c r="P24" i="19" s="1"/>
  <c r="S23" i="19"/>
  <c r="J23" i="19"/>
  <c r="L23" i="19" s="1"/>
  <c r="P23" i="19" s="1"/>
  <c r="S22" i="19"/>
  <c r="J22" i="19"/>
  <c r="L22" i="19" s="1"/>
  <c r="P22" i="19" s="1"/>
  <c r="J21" i="19"/>
  <c r="L21" i="19" s="1"/>
  <c r="N21" i="19" s="1"/>
  <c r="J20" i="19"/>
  <c r="L20" i="19" s="1"/>
  <c r="N20" i="19" s="1"/>
  <c r="J19" i="19"/>
  <c r="L19" i="19" s="1"/>
  <c r="N19" i="19" s="1"/>
  <c r="J18" i="19"/>
  <c r="L18" i="19" s="1"/>
  <c r="N18" i="19" s="1"/>
  <c r="J17" i="19"/>
  <c r="L17" i="19" s="1"/>
  <c r="N17" i="19" s="1"/>
  <c r="J16" i="19"/>
  <c r="L16" i="19" s="1"/>
  <c r="N16" i="19" s="1"/>
  <c r="J15" i="19"/>
  <c r="J14" i="19"/>
  <c r="K13" i="19"/>
  <c r="K14" i="19" s="1"/>
  <c r="K15" i="19" s="1"/>
  <c r="L15" i="19" s="1"/>
  <c r="N15" i="19" s="1"/>
  <c r="J13" i="19"/>
  <c r="K12" i="19"/>
  <c r="J12" i="19"/>
  <c r="J11" i="19"/>
  <c r="L11" i="19" s="1"/>
  <c r="N11" i="19" s="1"/>
  <c r="J10" i="19"/>
  <c r="J9" i="19"/>
  <c r="K8" i="19"/>
  <c r="K9" i="19" s="1"/>
  <c r="K10" i="19" s="1"/>
  <c r="J8" i="19"/>
  <c r="K7" i="19"/>
  <c r="J7" i="19"/>
  <c r="L7" i="19" s="1"/>
  <c r="O7" i="19" s="1"/>
  <c r="J6" i="19"/>
  <c r="L6" i="19" s="1"/>
  <c r="O6" i="19" s="1"/>
  <c r="M1" i="19"/>
  <c r="L32" i="17"/>
  <c r="O32" i="17" s="1"/>
  <c r="L31" i="17"/>
  <c r="O31" i="17" s="1"/>
  <c r="L30" i="17"/>
  <c r="O30" i="17" s="1"/>
  <c r="L29" i="17"/>
  <c r="O29" i="17" s="1"/>
  <c r="L27" i="17"/>
  <c r="O27" i="17" s="1"/>
  <c r="L26" i="17"/>
  <c r="L25" i="17"/>
  <c r="O25" i="17" s="1"/>
  <c r="L24" i="17"/>
  <c r="O24" i="17" s="1"/>
  <c r="L23" i="17"/>
  <c r="R23" i="17" s="1"/>
  <c r="L22" i="17"/>
  <c r="O22" i="17" s="1"/>
  <c r="L21" i="17"/>
  <c r="O21" i="17" s="1"/>
  <c r="L20" i="17"/>
  <c r="R20" i="17" s="1"/>
  <c r="L19" i="17"/>
  <c r="M19" i="17" s="1"/>
  <c r="M34" i="17" s="1"/>
  <c r="L18" i="17"/>
  <c r="R18" i="17" s="1"/>
  <c r="L17" i="17"/>
  <c r="R17" i="17" s="1"/>
  <c r="L16" i="17"/>
  <c r="R16" i="17" s="1"/>
  <c r="L15" i="17"/>
  <c r="N15" i="17" s="1"/>
  <c r="L14" i="17"/>
  <c r="R14" i="17" s="1"/>
  <c r="L13" i="17"/>
  <c r="O13" i="17" s="1"/>
  <c r="L12" i="17"/>
  <c r="O12" i="17" s="1"/>
  <c r="L11" i="17"/>
  <c r="O11" i="17" s="1"/>
  <c r="L9" i="17"/>
  <c r="N9" i="17" s="1"/>
  <c r="L8" i="17"/>
  <c r="N8" i="17" s="1"/>
  <c r="L7" i="17"/>
  <c r="N7" i="17" s="1"/>
  <c r="L6" i="17"/>
  <c r="R6" i="17" s="1"/>
  <c r="L5" i="17"/>
  <c r="L4" i="17"/>
  <c r="S4" i="17" s="1"/>
  <c r="L1" i="17"/>
  <c r="M76" i="16"/>
  <c r="N76" i="16" s="1"/>
  <c r="M75" i="16"/>
  <c r="O75" i="16" s="1"/>
  <c r="M74" i="16"/>
  <c r="N74" i="16" s="1"/>
  <c r="M72" i="16"/>
  <c r="N72" i="16" s="1"/>
  <c r="L72" i="16"/>
  <c r="O72" i="16" s="1"/>
  <c r="M70" i="16"/>
  <c r="S70" i="16" s="1"/>
  <c r="L70" i="16"/>
  <c r="M69" i="16"/>
  <c r="S69" i="16" s="1"/>
  <c r="L69" i="16"/>
  <c r="M67" i="16"/>
  <c r="N67" i="16" s="1"/>
  <c r="M66" i="16"/>
  <c r="O66" i="16" s="1"/>
  <c r="M65" i="16"/>
  <c r="N65" i="16" s="1"/>
  <c r="M64" i="16"/>
  <c r="N64" i="16" s="1"/>
  <c r="M63" i="16"/>
  <c r="O63" i="16" s="1"/>
  <c r="O62" i="16"/>
  <c r="N62" i="16"/>
  <c r="P62" i="16" s="1"/>
  <c r="M62" i="16"/>
  <c r="M61" i="16"/>
  <c r="O61" i="16" s="1"/>
  <c r="M60" i="16"/>
  <c r="O60" i="16" s="1"/>
  <c r="M59" i="16"/>
  <c r="O59" i="16" s="1"/>
  <c r="M58" i="16"/>
  <c r="N58" i="16" s="1"/>
  <c r="M57" i="16"/>
  <c r="O57" i="16" s="1"/>
  <c r="M56" i="16"/>
  <c r="N56" i="16" s="1"/>
  <c r="M54" i="16"/>
  <c r="L54" i="16"/>
  <c r="M53" i="16"/>
  <c r="O53" i="16" s="1"/>
  <c r="L53" i="16"/>
  <c r="M52" i="16"/>
  <c r="N52" i="16" s="1"/>
  <c r="L52" i="16"/>
  <c r="M51" i="16"/>
  <c r="L51" i="16"/>
  <c r="M50" i="16"/>
  <c r="N50" i="16" s="1"/>
  <c r="L50" i="16"/>
  <c r="M49" i="16"/>
  <c r="N49" i="16" s="1"/>
  <c r="L49" i="16"/>
  <c r="M48" i="16"/>
  <c r="N48" i="16" s="1"/>
  <c r="L48" i="16"/>
  <c r="M47" i="16"/>
  <c r="L47" i="16"/>
  <c r="M46" i="16"/>
  <c r="L46" i="16"/>
  <c r="M45" i="16"/>
  <c r="S45" i="16" s="1"/>
  <c r="L45" i="16"/>
  <c r="M44" i="16"/>
  <c r="L44" i="16"/>
  <c r="M42" i="16"/>
  <c r="N42" i="16" s="1"/>
  <c r="L42" i="16"/>
  <c r="M41" i="16"/>
  <c r="N41" i="16" s="1"/>
  <c r="L41" i="16"/>
  <c r="O41" i="16" s="1"/>
  <c r="M40" i="16"/>
  <c r="N40" i="16" s="1"/>
  <c r="L40" i="16"/>
  <c r="M39" i="16"/>
  <c r="S39" i="16" s="1"/>
  <c r="L39" i="16"/>
  <c r="S38" i="16"/>
  <c r="M38" i="16"/>
  <c r="N38" i="16" s="1"/>
  <c r="L38" i="16"/>
  <c r="O38" i="16" s="1"/>
  <c r="M37" i="16"/>
  <c r="L37" i="16"/>
  <c r="M36" i="16"/>
  <c r="S36" i="16" s="1"/>
  <c r="L36" i="16"/>
  <c r="M35" i="16"/>
  <c r="N35" i="16" s="1"/>
  <c r="L35" i="16"/>
  <c r="O35" i="16" s="1"/>
  <c r="M34" i="16"/>
  <c r="L34" i="16"/>
  <c r="M33" i="16"/>
  <c r="N33" i="16" s="1"/>
  <c r="L33" i="16"/>
  <c r="O33" i="16" s="1"/>
  <c r="M32" i="16"/>
  <c r="N32" i="16" s="1"/>
  <c r="L32" i="16"/>
  <c r="O32" i="16" s="1"/>
  <c r="M30" i="16"/>
  <c r="N30" i="16" s="1"/>
  <c r="M29" i="16"/>
  <c r="O29" i="16" s="1"/>
  <c r="M28" i="16"/>
  <c r="O28" i="16" s="1"/>
  <c r="M27" i="16"/>
  <c r="N27" i="16" s="1"/>
  <c r="M26" i="16"/>
  <c r="O26" i="16" s="1"/>
  <c r="M25" i="16"/>
  <c r="O25" i="16" s="1"/>
  <c r="M24" i="16"/>
  <c r="N24" i="16" s="1"/>
  <c r="M23" i="16"/>
  <c r="O23" i="16" s="1"/>
  <c r="M22" i="16"/>
  <c r="O22" i="16" s="1"/>
  <c r="M21" i="16"/>
  <c r="N21" i="16" s="1"/>
  <c r="M20" i="16"/>
  <c r="O20" i="16" s="1"/>
  <c r="M19" i="16"/>
  <c r="O19" i="16" s="1"/>
  <c r="M17" i="16"/>
  <c r="N17" i="16" s="1"/>
  <c r="M16" i="16"/>
  <c r="O16" i="16" s="1"/>
  <c r="M15" i="16"/>
  <c r="O15" i="16" s="1"/>
  <c r="M14" i="16"/>
  <c r="N14" i="16" s="1"/>
  <c r="M13" i="16"/>
  <c r="O13" i="16" s="1"/>
  <c r="M12" i="16"/>
  <c r="O12" i="16" s="1"/>
  <c r="M11" i="16"/>
  <c r="S11" i="16" s="1"/>
  <c r="M10" i="16"/>
  <c r="N10" i="16" s="1"/>
  <c r="O9" i="16"/>
  <c r="M9" i="16"/>
  <c r="S9" i="16" s="1"/>
  <c r="M8" i="16"/>
  <c r="S8" i="16" s="1"/>
  <c r="M7" i="16"/>
  <c r="O7" i="16" s="1"/>
  <c r="M6" i="16"/>
  <c r="N6" i="16" s="1"/>
  <c r="P6" i="16" s="1"/>
  <c r="M4" i="16"/>
  <c r="O4" i="16" s="1"/>
  <c r="M1" i="16"/>
  <c r="O78" i="15"/>
  <c r="N78" i="15"/>
  <c r="P78" i="15" s="1"/>
  <c r="O77" i="15"/>
  <c r="N77" i="15"/>
  <c r="O76" i="15"/>
  <c r="N76" i="15"/>
  <c r="P76" i="15" s="1"/>
  <c r="M74" i="15"/>
  <c r="N74" i="15" s="1"/>
  <c r="M73" i="15"/>
  <c r="O73" i="15" s="1"/>
  <c r="O72" i="15"/>
  <c r="M72" i="15"/>
  <c r="N72" i="15" s="1"/>
  <c r="M71" i="15"/>
  <c r="N71" i="15" s="1"/>
  <c r="M69" i="15"/>
  <c r="O69" i="15" s="1"/>
  <c r="M68" i="15"/>
  <c r="O68" i="15" s="1"/>
  <c r="M67" i="15"/>
  <c r="N67" i="15" s="1"/>
  <c r="M66" i="15"/>
  <c r="O66" i="15" s="1"/>
  <c r="M65" i="15"/>
  <c r="S65" i="15" s="1"/>
  <c r="M64" i="15"/>
  <c r="O64" i="15" s="1"/>
  <c r="M63" i="15"/>
  <c r="O63" i="15" s="1"/>
  <c r="M61" i="15"/>
  <c r="O61" i="15" s="1"/>
  <c r="M59" i="15"/>
  <c r="O59" i="15" s="1"/>
  <c r="M58" i="15"/>
  <c r="O58" i="15" s="1"/>
  <c r="M57" i="15"/>
  <c r="O57" i="15" s="1"/>
  <c r="M56" i="15"/>
  <c r="O56" i="15" s="1"/>
  <c r="M55" i="15"/>
  <c r="O55" i="15" s="1"/>
  <c r="M54" i="15"/>
  <c r="N54" i="15" s="1"/>
  <c r="M53" i="15"/>
  <c r="O53" i="15" s="1"/>
  <c r="M52" i="15"/>
  <c r="O52" i="15" s="1"/>
  <c r="M50" i="15"/>
  <c r="O50" i="15" s="1"/>
  <c r="M49" i="15"/>
  <c r="O49" i="15" s="1"/>
  <c r="M48" i="15"/>
  <c r="O48" i="15" s="1"/>
  <c r="M47" i="15"/>
  <c r="N47" i="15" s="1"/>
  <c r="M46" i="15"/>
  <c r="O46" i="15" s="1"/>
  <c r="N45" i="15"/>
  <c r="M45" i="15"/>
  <c r="O45" i="15" s="1"/>
  <c r="M44" i="15"/>
  <c r="O44" i="15" s="1"/>
  <c r="M43" i="15"/>
  <c r="O43" i="15" s="1"/>
  <c r="M42" i="15"/>
  <c r="O42" i="15" s="1"/>
  <c r="M41" i="15"/>
  <c r="N41" i="15" s="1"/>
  <c r="M40" i="15"/>
  <c r="O40" i="15" s="1"/>
  <c r="M39" i="15"/>
  <c r="O39" i="15" s="1"/>
  <c r="M37" i="15"/>
  <c r="N37" i="15" s="1"/>
  <c r="M36" i="15"/>
  <c r="O36" i="15" s="1"/>
  <c r="N35" i="15"/>
  <c r="M35" i="15"/>
  <c r="O35" i="15" s="1"/>
  <c r="M34" i="15"/>
  <c r="O34" i="15" s="1"/>
  <c r="M33" i="15"/>
  <c r="O33" i="15" s="1"/>
  <c r="M32" i="15"/>
  <c r="O32" i="15" s="1"/>
  <c r="M31" i="15"/>
  <c r="N31" i="15" s="1"/>
  <c r="M30" i="15"/>
  <c r="O30" i="15" s="1"/>
  <c r="M29" i="15"/>
  <c r="O29" i="15" s="1"/>
  <c r="M28" i="15"/>
  <c r="O28" i="15" s="1"/>
  <c r="M27" i="15"/>
  <c r="O27" i="15" s="1"/>
  <c r="M25" i="15"/>
  <c r="O25" i="15" s="1"/>
  <c r="M24" i="15"/>
  <c r="S24" i="15" s="1"/>
  <c r="M23" i="15"/>
  <c r="O23" i="15" s="1"/>
  <c r="M22" i="15"/>
  <c r="O22" i="15" s="1"/>
  <c r="M21" i="15"/>
  <c r="O21" i="15" s="1"/>
  <c r="M20" i="15"/>
  <c r="S20" i="15" s="1"/>
  <c r="M18" i="15"/>
  <c r="O18" i="15" s="1"/>
  <c r="M17" i="15"/>
  <c r="O17" i="15" s="1"/>
  <c r="M16" i="15"/>
  <c r="O16" i="15" s="1"/>
  <c r="M15" i="15"/>
  <c r="O15" i="15" s="1"/>
  <c r="M14" i="15"/>
  <c r="S14" i="15" s="1"/>
  <c r="M13" i="15"/>
  <c r="N13" i="15" s="1"/>
  <c r="M12" i="15"/>
  <c r="N12" i="15" s="1"/>
  <c r="L12" i="15"/>
  <c r="O12" i="15" s="1"/>
  <c r="M11" i="15"/>
  <c r="S11" i="15" s="1"/>
  <c r="M10" i="15"/>
  <c r="S10" i="15" s="1"/>
  <c r="M9" i="15"/>
  <c r="S9" i="15" s="1"/>
  <c r="M8" i="15"/>
  <c r="O8" i="15" s="1"/>
  <c r="M7" i="15"/>
  <c r="O7" i="15" s="1"/>
  <c r="M6" i="15"/>
  <c r="O6" i="15" s="1"/>
  <c r="M5" i="15"/>
  <c r="S5" i="15" s="1"/>
  <c r="M4" i="15"/>
  <c r="N4" i="15" s="1"/>
  <c r="L4" i="15"/>
  <c r="O4" i="15" s="1"/>
  <c r="L1" i="15"/>
  <c r="D99" i="14"/>
  <c r="G99" i="14" s="1"/>
  <c r="D98" i="14"/>
  <c r="G98" i="14" s="1"/>
  <c r="D97" i="14"/>
  <c r="G97" i="14" s="1"/>
  <c r="D96" i="14"/>
  <c r="G96" i="14" s="1"/>
  <c r="D95" i="14"/>
  <c r="G95" i="14" s="1"/>
  <c r="D94" i="14"/>
  <c r="G94" i="14" s="1"/>
  <c r="G93" i="14"/>
  <c r="D93" i="14"/>
  <c r="D92" i="14"/>
  <c r="G92" i="14" s="1"/>
  <c r="D91" i="14"/>
  <c r="G91" i="14" s="1"/>
  <c r="D90" i="14"/>
  <c r="G90" i="14" s="1"/>
  <c r="D89" i="14"/>
  <c r="G89" i="14" s="1"/>
  <c r="D88" i="14"/>
  <c r="G88" i="14" s="1"/>
  <c r="D87" i="14"/>
  <c r="G87" i="14" s="1"/>
  <c r="D86" i="14"/>
  <c r="G86" i="14" s="1"/>
  <c r="D85" i="14"/>
  <c r="F85" i="14" s="1"/>
  <c r="D84" i="14"/>
  <c r="F84" i="14" s="1"/>
  <c r="D83" i="14"/>
  <c r="F83" i="14" s="1"/>
  <c r="D82" i="14"/>
  <c r="F82" i="14" s="1"/>
  <c r="D81" i="14"/>
  <c r="F81" i="14" s="1"/>
  <c r="D80" i="14"/>
  <c r="F80" i="14" s="1"/>
  <c r="D79" i="14"/>
  <c r="F79" i="14" s="1"/>
  <c r="D78" i="14"/>
  <c r="F78" i="14" s="1"/>
  <c r="D77" i="14"/>
  <c r="F77" i="14" s="1"/>
  <c r="D76" i="14"/>
  <c r="F76" i="14" s="1"/>
  <c r="D75" i="14"/>
  <c r="F75" i="14" s="1"/>
  <c r="D74" i="14"/>
  <c r="F74" i="14" s="1"/>
  <c r="D73" i="14"/>
  <c r="F73" i="14" s="1"/>
  <c r="D72" i="14"/>
  <c r="F72" i="14" s="1"/>
  <c r="D71" i="14"/>
  <c r="F71" i="14" s="1"/>
  <c r="D70" i="14"/>
  <c r="F70" i="14" s="1"/>
  <c r="D69" i="14"/>
  <c r="H69" i="14" s="1"/>
  <c r="D68" i="14"/>
  <c r="H68" i="14" s="1"/>
  <c r="M67" i="14"/>
  <c r="D67" i="14"/>
  <c r="H67" i="14" s="1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D53" i="14"/>
  <c r="I53" i="14" s="1"/>
  <c r="D52" i="14"/>
  <c r="I52" i="14" s="1"/>
  <c r="D51" i="14"/>
  <c r="I51" i="14" s="1"/>
  <c r="D50" i="14"/>
  <c r="I50" i="14" s="1"/>
  <c r="D49" i="14"/>
  <c r="I49" i="14" s="1"/>
  <c r="N48" i="14"/>
  <c r="D48" i="14"/>
  <c r="I48" i="14" s="1"/>
  <c r="N47" i="14"/>
  <c r="D47" i="14"/>
  <c r="I47" i="14" s="1"/>
  <c r="N46" i="14"/>
  <c r="D46" i="14"/>
  <c r="I46" i="14" s="1"/>
  <c r="D45" i="14"/>
  <c r="I45" i="14" s="1"/>
  <c r="M41" i="14"/>
  <c r="H41" i="14"/>
  <c r="M40" i="14"/>
  <c r="H40" i="14"/>
  <c r="H39" i="14"/>
  <c r="M38" i="14"/>
  <c r="H38" i="14"/>
  <c r="H37" i="14"/>
  <c r="H36" i="14"/>
  <c r="H35" i="14"/>
  <c r="H34" i="14"/>
  <c r="H33" i="14"/>
  <c r="H32" i="14"/>
  <c r="H31" i="14"/>
  <c r="H30" i="14"/>
  <c r="D29" i="14"/>
  <c r="H29" i="14" s="1"/>
  <c r="M28" i="14"/>
  <c r="D28" i="14"/>
  <c r="H28" i="14" s="1"/>
  <c r="D27" i="14"/>
  <c r="H27" i="14" s="1"/>
  <c r="D26" i="14"/>
  <c r="H26" i="14" s="1"/>
  <c r="M25" i="14"/>
  <c r="D25" i="14"/>
  <c r="H25" i="14" s="1"/>
  <c r="D24" i="14"/>
  <c r="H24" i="14" s="1"/>
  <c r="D23" i="14"/>
  <c r="H23" i="14" s="1"/>
  <c r="D22" i="14"/>
  <c r="H22" i="14" s="1"/>
  <c r="D21" i="14"/>
  <c r="H21" i="14" s="1"/>
  <c r="D20" i="14"/>
  <c r="H20" i="14" s="1"/>
  <c r="D19" i="14"/>
  <c r="H19" i="14" s="1"/>
  <c r="D18" i="14"/>
  <c r="H18" i="14" s="1"/>
  <c r="D17" i="14"/>
  <c r="H17" i="14" s="1"/>
  <c r="D16" i="14"/>
  <c r="H16" i="14" s="1"/>
  <c r="D15" i="14"/>
  <c r="H15" i="14" s="1"/>
  <c r="D14" i="14"/>
  <c r="H14" i="14" s="1"/>
  <c r="D13" i="14"/>
  <c r="H13" i="14" s="1"/>
  <c r="D12" i="14"/>
  <c r="H12" i="14" s="1"/>
  <c r="D11" i="14"/>
  <c r="H11" i="14" s="1"/>
  <c r="M10" i="14"/>
  <c r="D10" i="14"/>
  <c r="H10" i="14" s="1"/>
  <c r="M9" i="14"/>
  <c r="D9" i="14"/>
  <c r="H9" i="14" s="1"/>
  <c r="M8" i="14"/>
  <c r="D8" i="14"/>
  <c r="H8" i="14" s="1"/>
  <c r="M7" i="14"/>
  <c r="D7" i="14"/>
  <c r="H7" i="14" s="1"/>
  <c r="M6" i="14"/>
  <c r="D6" i="14"/>
  <c r="H6" i="14" s="1"/>
  <c r="G1" i="14"/>
  <c r="P118" i="19" l="1"/>
  <c r="O40" i="16"/>
  <c r="O49" i="16"/>
  <c r="N34" i="15"/>
  <c r="P34" i="15" s="1"/>
  <c r="O47" i="15"/>
  <c r="P47" i="15" s="1"/>
  <c r="N55" i="15"/>
  <c r="P55" i="15" s="1"/>
  <c r="N53" i="16"/>
  <c r="P53" i="16" s="1"/>
  <c r="N6" i="15"/>
  <c r="P6" i="15" s="1"/>
  <c r="O10" i="16"/>
  <c r="P10" i="16" s="1"/>
  <c r="O46" i="16"/>
  <c r="S6" i="15"/>
  <c r="O74" i="15"/>
  <c r="P74" i="15" s="1"/>
  <c r="O42" i="16"/>
  <c r="P42" i="16" s="1"/>
  <c r="S7" i="15"/>
  <c r="O31" i="15"/>
  <c r="P31" i="15" s="1"/>
  <c r="P35" i="16"/>
  <c r="O39" i="16"/>
  <c r="O48" i="16"/>
  <c r="P48" i="16" s="1"/>
  <c r="O69" i="16"/>
  <c r="L12" i="19"/>
  <c r="N12" i="19" s="1"/>
  <c r="P40" i="16"/>
  <c r="P38" i="16"/>
  <c r="O64" i="16"/>
  <c r="P64" i="16" s="1"/>
  <c r="O37" i="15"/>
  <c r="P37" i="15" s="1"/>
  <c r="N50" i="15"/>
  <c r="P50" i="15" s="1"/>
  <c r="P12" i="15"/>
  <c r="O65" i="16"/>
  <c r="P65" i="16" s="1"/>
  <c r="N28" i="15"/>
  <c r="P28" i="15" s="1"/>
  <c r="N65" i="15"/>
  <c r="O65" i="15"/>
  <c r="O34" i="16"/>
  <c r="O58" i="16"/>
  <c r="P58" i="16" s="1"/>
  <c r="O41" i="15"/>
  <c r="P41" i="15" s="1"/>
  <c r="P49" i="16"/>
  <c r="N59" i="16"/>
  <c r="P59" i="16" s="1"/>
  <c r="O67" i="16"/>
  <c r="P67" i="16" s="1"/>
  <c r="O5" i="15"/>
  <c r="N42" i="15"/>
  <c r="O54" i="15"/>
  <c r="P54" i="15" s="1"/>
  <c r="O67" i="15"/>
  <c r="P67" i="15" s="1"/>
  <c r="O6" i="16"/>
  <c r="P41" i="16"/>
  <c r="N100" i="14"/>
  <c r="S67" i="15"/>
  <c r="S6" i="16"/>
  <c r="O21" i="16"/>
  <c r="P21" i="16" s="1"/>
  <c r="O50" i="16"/>
  <c r="P50" i="16" s="1"/>
  <c r="N39" i="15"/>
  <c r="P39" i="15" s="1"/>
  <c r="N52" i="15"/>
  <c r="P52" i="15" s="1"/>
  <c r="N44" i="15"/>
  <c r="P44" i="15" s="1"/>
  <c r="O36" i="16"/>
  <c r="L8" i="19"/>
  <c r="O8" i="19" s="1"/>
  <c r="O26" i="19" s="1"/>
  <c r="O138" i="19" s="1"/>
  <c r="N8" i="16"/>
  <c r="O51" i="16"/>
  <c r="N61" i="16"/>
  <c r="P61" i="16" s="1"/>
  <c r="R15" i="17"/>
  <c r="R34" i="17" s="1"/>
  <c r="L9" i="19"/>
  <c r="N9" i="19" s="1"/>
  <c r="O98" i="19"/>
  <c r="N46" i="16"/>
  <c r="P46" i="16" s="1"/>
  <c r="O10" i="15"/>
  <c r="O24" i="15"/>
  <c r="N48" i="15"/>
  <c r="P48" i="15" s="1"/>
  <c r="O76" i="16"/>
  <c r="P76" i="16" s="1"/>
  <c r="O54" i="16"/>
  <c r="P56" i="16"/>
  <c r="L14" i="19"/>
  <c r="N14" i="19" s="1"/>
  <c r="P33" i="16"/>
  <c r="P62" i="19"/>
  <c r="O13" i="15"/>
  <c r="P13" i="15" s="1"/>
  <c r="S13" i="15"/>
  <c r="N29" i="15"/>
  <c r="P29" i="15" s="1"/>
  <c r="N17" i="15"/>
  <c r="P17" i="15" s="1"/>
  <c r="N32" i="15"/>
  <c r="P32" i="15" s="1"/>
  <c r="M100" i="14"/>
  <c r="N7" i="15"/>
  <c r="P7" i="15" s="1"/>
  <c r="N57" i="15"/>
  <c r="P57" i="15" s="1"/>
  <c r="O71" i="15"/>
  <c r="P71" i="15" s="1"/>
  <c r="O8" i="16"/>
  <c r="O24" i="16"/>
  <c r="P24" i="16" s="1"/>
  <c r="O37" i="16"/>
  <c r="O44" i="16"/>
  <c r="S51" i="16"/>
  <c r="N10" i="15"/>
  <c r="P10" i="15" s="1"/>
  <c r="N61" i="15"/>
  <c r="P61" i="15" s="1"/>
  <c r="O30" i="16"/>
  <c r="P30" i="16" s="1"/>
  <c r="N25" i="15"/>
  <c r="P25" i="15" s="1"/>
  <c r="N63" i="15"/>
  <c r="P63" i="15" s="1"/>
  <c r="N39" i="16"/>
  <c r="P39" i="16" s="1"/>
  <c r="O47" i="16"/>
  <c r="P77" i="15"/>
  <c r="P32" i="16"/>
  <c r="O56" i="16"/>
  <c r="O17" i="16"/>
  <c r="P17" i="16" s="1"/>
  <c r="P136" i="19"/>
  <c r="P72" i="15"/>
  <c r="O45" i="16"/>
  <c r="O52" i="16"/>
  <c r="P72" i="16"/>
  <c r="O14" i="16"/>
  <c r="P14" i="16" s="1"/>
  <c r="P52" i="16"/>
  <c r="P98" i="19"/>
  <c r="N21" i="15"/>
  <c r="P21" i="15" s="1"/>
  <c r="N58" i="15"/>
  <c r="P58" i="15" s="1"/>
  <c r="N45" i="16"/>
  <c r="P45" i="16" s="1"/>
  <c r="O27" i="16"/>
  <c r="P27" i="16" s="1"/>
  <c r="O74" i="16"/>
  <c r="P74" i="16" s="1"/>
  <c r="P45" i="15"/>
  <c r="P26" i="19"/>
  <c r="N98" i="19"/>
  <c r="S138" i="19"/>
  <c r="S26" i="17"/>
  <c r="O26" i="17"/>
  <c r="L10" i="19"/>
  <c r="N10" i="19" s="1"/>
  <c r="H100" i="14"/>
  <c r="P4" i="15"/>
  <c r="I100" i="14"/>
  <c r="F100" i="14"/>
  <c r="P35" i="15"/>
  <c r="P42" i="15"/>
  <c r="G100" i="14"/>
  <c r="S5" i="17"/>
  <c r="O5" i="17"/>
  <c r="S8" i="15"/>
  <c r="N11" i="15"/>
  <c r="N16" i="15"/>
  <c r="P16" i="15" s="1"/>
  <c r="N20" i="15"/>
  <c r="N66" i="15"/>
  <c r="P66" i="15" s="1"/>
  <c r="S68" i="15"/>
  <c r="N4" i="16"/>
  <c r="N13" i="16"/>
  <c r="P13" i="16" s="1"/>
  <c r="N16" i="16"/>
  <c r="P16" i="16" s="1"/>
  <c r="N20" i="16"/>
  <c r="P20" i="16" s="1"/>
  <c r="N23" i="16"/>
  <c r="P23" i="16" s="1"/>
  <c r="N26" i="16"/>
  <c r="P26" i="16" s="1"/>
  <c r="N29" i="16"/>
  <c r="P29" i="16" s="1"/>
  <c r="S32" i="16"/>
  <c r="S77" i="16" s="1"/>
  <c r="N37" i="16"/>
  <c r="N47" i="16"/>
  <c r="N54" i="16"/>
  <c r="N70" i="16"/>
  <c r="N6" i="17"/>
  <c r="N17" i="17"/>
  <c r="L13" i="19"/>
  <c r="N13" i="19" s="1"/>
  <c r="O11" i="15"/>
  <c r="O20" i="15"/>
  <c r="O70" i="16"/>
  <c r="N9" i="15"/>
  <c r="N23" i="15"/>
  <c r="P23" i="15" s="1"/>
  <c r="N69" i="15"/>
  <c r="P69" i="15" s="1"/>
  <c r="N73" i="15"/>
  <c r="P73" i="15" s="1"/>
  <c r="N75" i="16"/>
  <c r="P75" i="16" s="1"/>
  <c r="O9" i="15"/>
  <c r="N14" i="15"/>
  <c r="N27" i="15"/>
  <c r="P27" i="15" s="1"/>
  <c r="N30" i="15"/>
  <c r="P30" i="15" s="1"/>
  <c r="N33" i="15"/>
  <c r="P33" i="15" s="1"/>
  <c r="N36" i="15"/>
  <c r="P36" i="15" s="1"/>
  <c r="N40" i="15"/>
  <c r="P40" i="15" s="1"/>
  <c r="N43" i="15"/>
  <c r="P43" i="15" s="1"/>
  <c r="N46" i="15"/>
  <c r="P46" i="15" s="1"/>
  <c r="N49" i="15"/>
  <c r="P49" i="15" s="1"/>
  <c r="N53" i="15"/>
  <c r="P53" i="15" s="1"/>
  <c r="N56" i="15"/>
  <c r="P56" i="15" s="1"/>
  <c r="N59" i="15"/>
  <c r="P59" i="15" s="1"/>
  <c r="N64" i="15"/>
  <c r="P64" i="15" s="1"/>
  <c r="N11" i="16"/>
  <c r="O4" i="17"/>
  <c r="N14" i="17"/>
  <c r="N18" i="17"/>
  <c r="N23" i="17"/>
  <c r="O14" i="15"/>
  <c r="O11" i="16"/>
  <c r="N5" i="15"/>
  <c r="P5" i="15" s="1"/>
  <c r="N24" i="15"/>
  <c r="P24" i="15" s="1"/>
  <c r="N9" i="16"/>
  <c r="P9" i="16" s="1"/>
  <c r="N36" i="16"/>
  <c r="N69" i="16"/>
  <c r="N15" i="15"/>
  <c r="P15" i="15" s="1"/>
  <c r="N18" i="15"/>
  <c r="P18" i="15" s="1"/>
  <c r="N12" i="16"/>
  <c r="P12" i="16" s="1"/>
  <c r="N15" i="16"/>
  <c r="P15" i="16" s="1"/>
  <c r="N19" i="16"/>
  <c r="P19" i="16" s="1"/>
  <c r="N22" i="16"/>
  <c r="P22" i="16" s="1"/>
  <c r="N25" i="16"/>
  <c r="P25" i="16" s="1"/>
  <c r="N28" i="16"/>
  <c r="P28" i="16" s="1"/>
  <c r="N34" i="16"/>
  <c r="N44" i="16"/>
  <c r="N51" i="16"/>
  <c r="P51" i="16" s="1"/>
  <c r="N20" i="17"/>
  <c r="N8" i="15"/>
  <c r="P8" i="15" s="1"/>
  <c r="N22" i="15"/>
  <c r="P22" i="15" s="1"/>
  <c r="N68" i="15"/>
  <c r="P68" i="15" s="1"/>
  <c r="N7" i="16"/>
  <c r="P7" i="16" s="1"/>
  <c r="N57" i="16"/>
  <c r="P57" i="16" s="1"/>
  <c r="N60" i="16"/>
  <c r="P60" i="16" s="1"/>
  <c r="N63" i="16"/>
  <c r="P63" i="16" s="1"/>
  <c r="N66" i="16"/>
  <c r="P66" i="16" s="1"/>
  <c r="N16" i="17"/>
  <c r="P8" i="16" l="1"/>
  <c r="P69" i="16"/>
  <c r="P14" i="15"/>
  <c r="P138" i="19"/>
  <c r="O34" i="17"/>
  <c r="O79" i="15"/>
  <c r="P65" i="15"/>
  <c r="P11" i="16"/>
  <c r="P44" i="16"/>
  <c r="N26" i="19"/>
  <c r="N138" i="19" s="1"/>
  <c r="S34" i="17"/>
  <c r="P34" i="16"/>
  <c r="P36" i="16"/>
  <c r="S79" i="15"/>
  <c r="P54" i="16"/>
  <c r="P47" i="16"/>
  <c r="O77" i="16"/>
  <c r="P37" i="16"/>
  <c r="N34" i="17"/>
  <c r="N77" i="16"/>
  <c r="P4" i="16"/>
  <c r="P20" i="15"/>
  <c r="P11" i="15"/>
  <c r="P70" i="16"/>
  <c r="N79" i="15"/>
  <c r="P9" i="15"/>
  <c r="P79" i="15" l="1"/>
  <c r="P77" i="16"/>
  <c r="G80" i="11" l="1"/>
  <c r="G206" i="11" l="1"/>
  <c r="G10" i="11" s="1"/>
  <c r="G42" i="11" l="1"/>
  <c r="G44" i="11" l="1"/>
  <c r="G46" i="11"/>
  <c r="G62" i="11"/>
  <c r="G68" i="11"/>
  <c r="G58" i="11"/>
  <c r="G126" i="11"/>
  <c r="G60" i="11"/>
  <c r="G132" i="11"/>
  <c r="G50" i="11"/>
  <c r="G138" i="11" l="1"/>
  <c r="G142" i="11"/>
  <c r="G74" i="11"/>
  <c r="G70" i="11"/>
  <c r="G54" i="11"/>
  <c r="G78" i="11"/>
  <c r="G120" i="11"/>
  <c r="G134" i="11"/>
  <c r="G110" i="11"/>
  <c r="G122" i="11"/>
  <c r="G140" i="11"/>
  <c r="G136" i="11"/>
  <c r="G124" i="11"/>
  <c r="G128" i="11"/>
  <c r="G130" i="11"/>
  <c r="G72" i="11" l="1"/>
  <c r="G116" i="11"/>
  <c r="G76" i="11"/>
  <c r="G118" i="11"/>
  <c r="G64" i="11"/>
  <c r="G114" i="11"/>
  <c r="G66" i="11"/>
  <c r="G52" i="11" l="1"/>
  <c r="G48" i="11"/>
  <c r="G56" i="11" l="1"/>
  <c r="G104" i="11" s="1"/>
  <c r="G6" i="11" s="1"/>
  <c r="G112" i="11"/>
  <c r="G172" i="11" s="1"/>
  <c r="G8" i="11" s="1"/>
  <c r="G36" i="11" l="1"/>
  <c r="G10" i="12" s="1"/>
  <c r="G14" i="12" l="1"/>
  <c r="G28" i="12" l="1"/>
  <c r="G32" i="12" l="1"/>
  <c r="G36" i="12" s="1"/>
</calcChain>
</file>

<file path=xl/sharedStrings.xml><?xml version="1.0" encoding="utf-8"?>
<sst xmlns="http://schemas.openxmlformats.org/spreadsheetml/2006/main" count="1474" uniqueCount="330">
  <si>
    <t>ケーブル</t>
  </si>
  <si>
    <t>EEF1.6-3C</t>
    <phoneticPr fontId="2"/>
  </si>
  <si>
    <t>リベコムシーン選択リモコン</t>
  </si>
  <si>
    <t>ウイズリモ2リモコン</t>
  </si>
  <si>
    <t>式</t>
    <rPh sb="0" eb="1">
      <t>シキ</t>
    </rPh>
    <phoneticPr fontId="2"/>
  </si>
  <si>
    <t>式</t>
  </si>
  <si>
    <t>式</t>
    <rPh sb="0" eb="1">
      <t>シキ</t>
    </rPh>
    <phoneticPr fontId="7"/>
  </si>
  <si>
    <t>式</t>
    <rPh sb="0" eb="1">
      <t>シキ</t>
    </rPh>
    <phoneticPr fontId="5"/>
  </si>
  <si>
    <t>個</t>
    <rPh sb="0" eb="1">
      <t>コ</t>
    </rPh>
    <phoneticPr fontId="7"/>
  </si>
  <si>
    <t>A21</t>
  </si>
  <si>
    <t>H21</t>
  </si>
  <si>
    <t>H14L</t>
  </si>
  <si>
    <t>H14N</t>
  </si>
  <si>
    <t>A41</t>
  </si>
  <si>
    <t>H2</t>
  </si>
  <si>
    <t>R21</t>
  </si>
  <si>
    <t>H6L-3</t>
  </si>
  <si>
    <t>H6LC</t>
  </si>
  <si>
    <t>H-6</t>
  </si>
  <si>
    <t>H9</t>
  </si>
  <si>
    <t>H20</t>
  </si>
  <si>
    <t>H25</t>
  </si>
  <si>
    <t>H24</t>
  </si>
  <si>
    <t>H46</t>
  </si>
  <si>
    <t>220×1235</t>
  </si>
  <si>
    <t>名称</t>
    <rPh sb="0" eb="2">
      <t>メイショウ</t>
    </rPh>
    <phoneticPr fontId="5"/>
  </si>
  <si>
    <t>計</t>
    <rPh sb="0" eb="1">
      <t>ケイ</t>
    </rPh>
    <phoneticPr fontId="5"/>
  </si>
  <si>
    <t>H43（ランプ取替）</t>
    <rPh sb="7" eb="9">
      <t>トリカエ</t>
    </rPh>
    <phoneticPr fontId="8"/>
  </si>
  <si>
    <t>リベコム設定費</t>
    <rPh sb="4" eb="6">
      <t>セッテイ</t>
    </rPh>
    <rPh sb="6" eb="7">
      <t>ヒ</t>
    </rPh>
    <phoneticPr fontId="8"/>
  </si>
  <si>
    <t>ｍ</t>
  </si>
  <si>
    <t>天井開口補強</t>
    <rPh sb="0" eb="6">
      <t>テンジョウカイコウホキョウ</t>
    </rPh>
    <phoneticPr fontId="5"/>
  </si>
  <si>
    <t>撤去</t>
    <rPh sb="0" eb="2">
      <t>テッキョ</t>
    </rPh>
    <phoneticPr fontId="5"/>
  </si>
  <si>
    <t>名                  称</t>
  </si>
  <si>
    <t>規    格 ・ 寸    法</t>
  </si>
  <si>
    <t>数     量</t>
  </si>
  <si>
    <t>単 位</t>
  </si>
  <si>
    <t>単      価</t>
  </si>
  <si>
    <t>金        額</t>
  </si>
  <si>
    <t>備        考</t>
  </si>
  <si>
    <t>電気設備工事</t>
  </si>
  <si>
    <t>計</t>
  </si>
  <si>
    <t>LED照明器具</t>
    <rPh sb="3" eb="7">
      <t>ショウメイキグ</t>
    </rPh>
    <phoneticPr fontId="7"/>
  </si>
  <si>
    <t>式</t>
    <rPh sb="0" eb="1">
      <t>シキ</t>
    </rPh>
    <phoneticPr fontId="4"/>
  </si>
  <si>
    <t>小計</t>
    <rPh sb="0" eb="2">
      <t>ショウケイ</t>
    </rPh>
    <phoneticPr fontId="7"/>
  </si>
  <si>
    <t>H78L　夜間作業</t>
    <rPh sb="5" eb="9">
      <t>ヤカンサギョウ</t>
    </rPh>
    <phoneticPr fontId="2"/>
  </si>
  <si>
    <t>H-105　夜間作業</t>
    <rPh sb="6" eb="10">
      <t>ヤカンサギョウ</t>
    </rPh>
    <phoneticPr fontId="2"/>
  </si>
  <si>
    <t>H80　夜間作業</t>
    <rPh sb="4" eb="8">
      <t>ヤカンサギョウ</t>
    </rPh>
    <phoneticPr fontId="2"/>
  </si>
  <si>
    <t>R21　夜間作業</t>
    <rPh sb="4" eb="8">
      <t>ヤカンサギョウ</t>
    </rPh>
    <phoneticPr fontId="2"/>
  </si>
  <si>
    <t>H3･H-3　夜間作業</t>
    <rPh sb="7" eb="11">
      <t>ヤカンサギョウ</t>
    </rPh>
    <phoneticPr fontId="2"/>
  </si>
  <si>
    <t>H4　夜間作業</t>
    <rPh sb="3" eb="7">
      <t>ヤカンサギョウ</t>
    </rPh>
    <phoneticPr fontId="2"/>
  </si>
  <si>
    <t>H6N　夜間作業</t>
    <rPh sb="4" eb="8">
      <t>ヤカンサギョウ</t>
    </rPh>
    <phoneticPr fontId="2"/>
  </si>
  <si>
    <t>H6N-2　夜間作業</t>
    <rPh sb="6" eb="10">
      <t>ヤカンサギョウ</t>
    </rPh>
    <phoneticPr fontId="2"/>
  </si>
  <si>
    <t>H6L　夜間作業</t>
    <rPh sb="4" eb="8">
      <t>ヤカンサギョウ</t>
    </rPh>
    <phoneticPr fontId="2"/>
  </si>
  <si>
    <t>DL　夜間作業</t>
    <rPh sb="3" eb="7">
      <t>ヤカンサギョウ</t>
    </rPh>
    <phoneticPr fontId="2"/>
  </si>
  <si>
    <t>H92（ランプ取替）　夜間作業</t>
    <rPh sb="7" eb="9">
      <t>トリカエ</t>
    </rPh>
    <rPh sb="11" eb="15">
      <t>ヤカンサギョウ</t>
    </rPh>
    <phoneticPr fontId="8"/>
  </si>
  <si>
    <t>H95　夜間作業</t>
    <rPh sb="4" eb="8">
      <t>ヤカンサギョウ</t>
    </rPh>
    <phoneticPr fontId="2"/>
  </si>
  <si>
    <t>H98　夜間作業</t>
    <rPh sb="4" eb="8">
      <t>ヤカンサギョウ</t>
    </rPh>
    <phoneticPr fontId="2"/>
  </si>
  <si>
    <t>H703　夜間作業</t>
    <rPh sb="5" eb="9">
      <t>ヤカンサギョウ</t>
    </rPh>
    <phoneticPr fontId="2"/>
  </si>
  <si>
    <t>H704　夜間作業</t>
    <rPh sb="5" eb="9">
      <t>ヤカンサギョウ</t>
    </rPh>
    <phoneticPr fontId="2"/>
  </si>
  <si>
    <t>H705　夜間作業</t>
    <rPh sb="5" eb="9">
      <t>ヤカンサギョウ</t>
    </rPh>
    <phoneticPr fontId="2"/>
  </si>
  <si>
    <t>ころがし　夜間作業</t>
    <rPh sb="5" eb="9">
      <t>ヤカンサギョウ</t>
    </rPh>
    <phoneticPr fontId="2"/>
  </si>
  <si>
    <t>箇所</t>
    <rPh sb="0" eb="2">
      <t>カショ</t>
    </rPh>
    <phoneticPr fontId="2"/>
  </si>
  <si>
    <t>夜間作業</t>
    <rPh sb="0" eb="4">
      <t>ヤカンサギョウ</t>
    </rPh>
    <phoneticPr fontId="2"/>
  </si>
  <si>
    <t/>
  </si>
  <si>
    <t>（直接工事費）</t>
    <rPh sb="5" eb="6">
      <t>ヒ</t>
    </rPh>
    <phoneticPr fontId="7"/>
  </si>
  <si>
    <t>（共通費）</t>
    <phoneticPr fontId="7"/>
  </si>
  <si>
    <t>共通仮設費</t>
  </si>
  <si>
    <t>現場管理費</t>
    <rPh sb="0" eb="2">
      <t>ゲンバ</t>
    </rPh>
    <rPh sb="2" eb="5">
      <t>カンリヒ</t>
    </rPh>
    <phoneticPr fontId="7"/>
  </si>
  <si>
    <t>一般管理費</t>
    <rPh sb="0" eb="2">
      <t>イッパン</t>
    </rPh>
    <rPh sb="2" eb="5">
      <t>カンリヒ</t>
    </rPh>
    <phoneticPr fontId="7"/>
  </si>
  <si>
    <t>合計</t>
    <rPh sb="0" eb="2">
      <t>ゴウケイ</t>
    </rPh>
    <phoneticPr fontId="7"/>
  </si>
  <si>
    <t>消費税</t>
  </si>
  <si>
    <t>総合計</t>
    <rPh sb="0" eb="1">
      <t>ソウ</t>
    </rPh>
    <rPh sb="1" eb="3">
      <t>ゴウケイ</t>
    </rPh>
    <phoneticPr fontId="7"/>
  </si>
  <si>
    <t>鉄くず</t>
    <rPh sb="0" eb="1">
      <t>テツ</t>
    </rPh>
    <phoneticPr fontId="5"/>
  </si>
  <si>
    <t>廃プラ</t>
    <rPh sb="0" eb="1">
      <t>ハイ</t>
    </rPh>
    <phoneticPr fontId="5"/>
  </si>
  <si>
    <t>合計</t>
    <rPh sb="0" eb="2">
      <t>ゴウケイ</t>
    </rPh>
    <phoneticPr fontId="5"/>
  </si>
  <si>
    <t>小計</t>
    <rPh sb="0" eb="2">
      <t>ショウケイ</t>
    </rPh>
    <phoneticPr fontId="5"/>
  </si>
  <si>
    <t>配管関係スクラップ重量計算書</t>
    <rPh sb="0" eb="2">
      <t>ハイカン</t>
    </rPh>
    <rPh sb="2" eb="4">
      <t>カンケイ</t>
    </rPh>
    <rPh sb="9" eb="11">
      <t>ジュウリョウ</t>
    </rPh>
    <rPh sb="11" eb="13">
      <t>ケイサン</t>
    </rPh>
    <rPh sb="13" eb="14">
      <t>ショ</t>
    </rPh>
    <phoneticPr fontId="5"/>
  </si>
  <si>
    <t>工事名：</t>
    <rPh sb="0" eb="2">
      <t>コウジ</t>
    </rPh>
    <rPh sb="2" eb="3">
      <t>メイ</t>
    </rPh>
    <phoneticPr fontId="5"/>
  </si>
  <si>
    <t>種別</t>
    <rPh sb="0" eb="2">
      <t>シュベツ</t>
    </rPh>
    <phoneticPr fontId="5"/>
  </si>
  <si>
    <t>単位重量</t>
    <rPh sb="0" eb="2">
      <t>タンイ</t>
    </rPh>
    <rPh sb="2" eb="4">
      <t>ジュウリョウ</t>
    </rPh>
    <phoneticPr fontId="5"/>
  </si>
  <si>
    <t>数量</t>
    <rPh sb="0" eb="2">
      <t>スウリョウ</t>
    </rPh>
    <phoneticPr fontId="5"/>
  </si>
  <si>
    <t>スクラップ重量計</t>
    <rPh sb="5" eb="7">
      <t>ジュウリョウ</t>
    </rPh>
    <rPh sb="7" eb="8">
      <t>ケイ</t>
    </rPh>
    <phoneticPr fontId="5"/>
  </si>
  <si>
    <t>産業廃棄物重量計</t>
    <rPh sb="0" eb="2">
      <t>サンギョウ</t>
    </rPh>
    <rPh sb="2" eb="5">
      <t>ハイキブツ</t>
    </rPh>
    <rPh sb="5" eb="7">
      <t>ジュウリョウ</t>
    </rPh>
    <rPh sb="7" eb="8">
      <t>ケイ</t>
    </rPh>
    <phoneticPr fontId="5"/>
  </si>
  <si>
    <t>単位容積(ｍ3)</t>
    <rPh sb="0" eb="2">
      <t>タンイ</t>
    </rPh>
    <rPh sb="2" eb="4">
      <t>ヨウセキ</t>
    </rPh>
    <phoneticPr fontId="4"/>
  </si>
  <si>
    <t>金属くず</t>
  </si>
  <si>
    <t>仕様</t>
    <phoneticPr fontId="5"/>
  </si>
  <si>
    <t>ｱﾙﾐくず</t>
    <phoneticPr fontId="5"/>
  </si>
  <si>
    <t>金属くず</t>
    <phoneticPr fontId="5"/>
  </si>
  <si>
    <t>(ｍ3)</t>
    <phoneticPr fontId="4"/>
  </si>
  <si>
    <t>(kg/ｍ)</t>
    <phoneticPr fontId="5"/>
  </si>
  <si>
    <t>(ｍ)</t>
    <phoneticPr fontId="5"/>
  </si>
  <si>
    <t>（ｋｇ）</t>
    <phoneticPr fontId="5"/>
  </si>
  <si>
    <t>ねじなし電線管</t>
    <rPh sb="4" eb="7">
      <t>デンセンカン</t>
    </rPh>
    <phoneticPr fontId="5"/>
  </si>
  <si>
    <t>φ19</t>
    <phoneticPr fontId="5"/>
  </si>
  <si>
    <t>（E管）</t>
    <phoneticPr fontId="5"/>
  </si>
  <si>
    <t>φ25</t>
    <phoneticPr fontId="5"/>
  </si>
  <si>
    <t>φ31</t>
    <phoneticPr fontId="5"/>
  </si>
  <si>
    <t>φ39</t>
    <phoneticPr fontId="5"/>
  </si>
  <si>
    <t>φ51</t>
    <phoneticPr fontId="5"/>
  </si>
  <si>
    <t>φ63</t>
    <phoneticPr fontId="5"/>
  </si>
  <si>
    <t>φ75</t>
    <phoneticPr fontId="5"/>
  </si>
  <si>
    <t>薄鋼電線管</t>
    <phoneticPr fontId="5"/>
  </si>
  <si>
    <t>（C管）</t>
    <phoneticPr fontId="5"/>
  </si>
  <si>
    <t>厚鋼電線管</t>
    <rPh sb="0" eb="1">
      <t>アツ</t>
    </rPh>
    <rPh sb="1" eb="2">
      <t>コウ</t>
    </rPh>
    <rPh sb="2" eb="5">
      <t>デンセンカン</t>
    </rPh>
    <phoneticPr fontId="5"/>
  </si>
  <si>
    <t>φ16</t>
    <phoneticPr fontId="5"/>
  </si>
  <si>
    <t>（G管）</t>
    <phoneticPr fontId="5"/>
  </si>
  <si>
    <t>φ22</t>
    <phoneticPr fontId="5"/>
  </si>
  <si>
    <t>φ28</t>
    <phoneticPr fontId="5"/>
  </si>
  <si>
    <t>φ36</t>
    <phoneticPr fontId="5"/>
  </si>
  <si>
    <t>φ42</t>
    <phoneticPr fontId="5"/>
  </si>
  <si>
    <t>φ54</t>
    <phoneticPr fontId="5"/>
  </si>
  <si>
    <t>φ70</t>
    <phoneticPr fontId="5"/>
  </si>
  <si>
    <t>φ82</t>
    <phoneticPr fontId="5"/>
  </si>
  <si>
    <t>φ92</t>
    <phoneticPr fontId="5"/>
  </si>
  <si>
    <t>φ104</t>
    <phoneticPr fontId="5"/>
  </si>
  <si>
    <t>金属製可とう電線管</t>
    <rPh sb="0" eb="3">
      <t>キンゾクセイ</t>
    </rPh>
    <rPh sb="3" eb="4">
      <t>カ</t>
    </rPh>
    <rPh sb="6" eb="8">
      <t>デンセン</t>
    </rPh>
    <rPh sb="8" eb="9">
      <t>カン</t>
    </rPh>
    <phoneticPr fontId="5"/>
  </si>
  <si>
    <t>φ10</t>
    <phoneticPr fontId="5"/>
  </si>
  <si>
    <t>（PZ,PV,PE管）</t>
    <phoneticPr fontId="5"/>
  </si>
  <si>
    <t>φ12</t>
    <phoneticPr fontId="5"/>
  </si>
  <si>
    <t>φ15</t>
    <phoneticPr fontId="5"/>
  </si>
  <si>
    <t>φ17</t>
    <phoneticPr fontId="5"/>
  </si>
  <si>
    <t>φ24</t>
    <phoneticPr fontId="5"/>
  </si>
  <si>
    <t>φ30</t>
    <phoneticPr fontId="5"/>
  </si>
  <si>
    <t>φ38</t>
    <phoneticPr fontId="5"/>
  </si>
  <si>
    <t>φ50</t>
    <phoneticPr fontId="5"/>
  </si>
  <si>
    <t>φ76</t>
    <phoneticPr fontId="5"/>
  </si>
  <si>
    <t>φ83</t>
    <phoneticPr fontId="5"/>
  </si>
  <si>
    <t>φ101</t>
    <phoneticPr fontId="5"/>
  </si>
  <si>
    <t>ビニル電線管</t>
    <rPh sb="3" eb="6">
      <t>デンセンカン</t>
    </rPh>
    <phoneticPr fontId="5"/>
  </si>
  <si>
    <t>φ14</t>
    <phoneticPr fontId="5"/>
  </si>
  <si>
    <t>（VE,HIVE管）</t>
    <phoneticPr fontId="5"/>
  </si>
  <si>
    <t>合成樹脂可とう電線管</t>
    <rPh sb="0" eb="2">
      <t>ゴウセイ</t>
    </rPh>
    <rPh sb="2" eb="4">
      <t>ジュシ</t>
    </rPh>
    <rPh sb="4" eb="5">
      <t>カ</t>
    </rPh>
    <rPh sb="7" eb="10">
      <t>デンセンカン</t>
    </rPh>
    <phoneticPr fontId="5"/>
  </si>
  <si>
    <t>（PF,CD管）</t>
    <phoneticPr fontId="5"/>
  </si>
  <si>
    <t>波付硬質合成樹脂管</t>
    <rPh sb="0" eb="4">
      <t>ナミツキコウシツ</t>
    </rPh>
    <rPh sb="4" eb="6">
      <t>ゴウセイ</t>
    </rPh>
    <rPh sb="6" eb="9">
      <t>ジュシカン</t>
    </rPh>
    <phoneticPr fontId="5"/>
  </si>
  <si>
    <t>（FEP管）</t>
    <phoneticPr fontId="5"/>
  </si>
  <si>
    <t>φ40</t>
    <phoneticPr fontId="5"/>
  </si>
  <si>
    <t>φ65</t>
    <phoneticPr fontId="5"/>
  </si>
  <si>
    <t>φ80</t>
    <phoneticPr fontId="5"/>
  </si>
  <si>
    <t>φ100</t>
    <phoneticPr fontId="5"/>
  </si>
  <si>
    <t>φ125</t>
    <phoneticPr fontId="5"/>
  </si>
  <si>
    <t>φ150</t>
  </si>
  <si>
    <t>φ200</t>
    <phoneticPr fontId="5"/>
  </si>
  <si>
    <t>メタルモール</t>
    <phoneticPr fontId="5"/>
  </si>
  <si>
    <t>A型</t>
    <rPh sb="1" eb="2">
      <t>カタ</t>
    </rPh>
    <phoneticPr fontId="5"/>
  </si>
  <si>
    <t>B型</t>
    <rPh sb="1" eb="2">
      <t>カタ</t>
    </rPh>
    <phoneticPr fontId="5"/>
  </si>
  <si>
    <t>C型</t>
    <rPh sb="1" eb="2">
      <t>カタ</t>
    </rPh>
    <phoneticPr fontId="5"/>
  </si>
  <si>
    <t>ケーブルラック</t>
    <phoneticPr fontId="5"/>
  </si>
  <si>
    <t>W=200，H=70</t>
    <phoneticPr fontId="5"/>
  </si>
  <si>
    <t>（鋼，ZAM製）</t>
    <phoneticPr fontId="5"/>
  </si>
  <si>
    <t>W=300，H=70</t>
    <phoneticPr fontId="5"/>
  </si>
  <si>
    <t>W=400，H=70</t>
    <phoneticPr fontId="5"/>
  </si>
  <si>
    <t>W=500，H=70</t>
    <phoneticPr fontId="5"/>
  </si>
  <si>
    <t>W=600，H=70</t>
    <phoneticPr fontId="5"/>
  </si>
  <si>
    <t>W=800，H=70</t>
    <phoneticPr fontId="5"/>
  </si>
  <si>
    <t>W=200，H=100</t>
    <phoneticPr fontId="5"/>
  </si>
  <si>
    <t>W=300，H=100</t>
    <phoneticPr fontId="5"/>
  </si>
  <si>
    <t>W=400，H=100</t>
    <phoneticPr fontId="5"/>
  </si>
  <si>
    <t>W=500，H=100</t>
    <phoneticPr fontId="5"/>
  </si>
  <si>
    <t>W=600，H=100</t>
    <phoneticPr fontId="5"/>
  </si>
  <si>
    <t>W=700，H=100</t>
    <phoneticPr fontId="5"/>
  </si>
  <si>
    <t>W=800，H=100</t>
    <phoneticPr fontId="5"/>
  </si>
  <si>
    <t>W=900，H=100</t>
    <phoneticPr fontId="5"/>
  </si>
  <si>
    <t>W=1000，H=100</t>
    <phoneticPr fontId="5"/>
  </si>
  <si>
    <t>W=1200，H=100</t>
    <phoneticPr fontId="5"/>
  </si>
  <si>
    <t>　</t>
    <phoneticPr fontId="5"/>
  </si>
  <si>
    <t>（アルミ製）</t>
    <phoneticPr fontId="5"/>
  </si>
  <si>
    <t>W=1000，H=70</t>
    <phoneticPr fontId="5"/>
  </si>
  <si>
    <t>ＩＶ・ｹｰﾌﾞﾙ重量・体積一覧表</t>
    <rPh sb="8" eb="10">
      <t>ジュウリョウ</t>
    </rPh>
    <rPh sb="11" eb="13">
      <t>タイセキ</t>
    </rPh>
    <rPh sb="13" eb="15">
      <t>イチラン</t>
    </rPh>
    <rPh sb="15" eb="16">
      <t>ヒョウ</t>
    </rPh>
    <phoneticPr fontId="7"/>
  </si>
  <si>
    <t>工事名：</t>
    <rPh sb="0" eb="2">
      <t>コウジ</t>
    </rPh>
    <rPh sb="2" eb="3">
      <t>メイ</t>
    </rPh>
    <phoneticPr fontId="7"/>
  </si>
  <si>
    <t>細目</t>
    <rPh sb="0" eb="2">
      <t>サイモク</t>
    </rPh>
    <phoneticPr fontId="5"/>
  </si>
  <si>
    <t>摘要</t>
    <rPh sb="0" eb="2">
      <t>テキヨウ</t>
    </rPh>
    <phoneticPr fontId="5"/>
  </si>
  <si>
    <t>設備工事名</t>
    <rPh sb="0" eb="2">
      <t>セツビ</t>
    </rPh>
    <rPh sb="2" eb="5">
      <t>コウジメイ</t>
    </rPh>
    <phoneticPr fontId="5"/>
  </si>
  <si>
    <t>単位</t>
    <phoneticPr fontId="5"/>
  </si>
  <si>
    <t>銅</t>
    <rPh sb="0" eb="1">
      <t>ドウ</t>
    </rPh>
    <phoneticPr fontId="7"/>
  </si>
  <si>
    <t>数量</t>
    <rPh sb="0" eb="1">
      <t>スウ</t>
    </rPh>
    <rPh sb="1" eb="2">
      <t>リョウ</t>
    </rPh>
    <phoneticPr fontId="7"/>
  </si>
  <si>
    <t>総重量計</t>
    <rPh sb="0" eb="1">
      <t>ソウ</t>
    </rPh>
    <rPh sb="1" eb="3">
      <t>ジュウリョウ</t>
    </rPh>
    <phoneticPr fontId="5"/>
  </si>
  <si>
    <t>スクラップ
重量計</t>
    <phoneticPr fontId="7"/>
  </si>
  <si>
    <t>産業廃棄物
重量計</t>
    <rPh sb="0" eb="2">
      <t>サンギョウ</t>
    </rPh>
    <rPh sb="2" eb="5">
      <t>ハイキブツ</t>
    </rPh>
    <phoneticPr fontId="7"/>
  </si>
  <si>
    <t>処分方法</t>
    <rPh sb="0" eb="2">
      <t>ショブン</t>
    </rPh>
    <rPh sb="2" eb="4">
      <t>ホウホウ</t>
    </rPh>
    <phoneticPr fontId="7"/>
  </si>
  <si>
    <t>重量
(kg)</t>
    <phoneticPr fontId="7"/>
  </si>
  <si>
    <t>重量
(kg)</t>
    <rPh sb="0" eb="2">
      <t>ジュウリョウ</t>
    </rPh>
    <phoneticPr fontId="7"/>
  </si>
  <si>
    <t>(kg)</t>
    <phoneticPr fontId="7"/>
  </si>
  <si>
    <t>銅くず
(ｋｇ)</t>
    <phoneticPr fontId="7"/>
  </si>
  <si>
    <t>廃プラ
（ｋｇ）</t>
    <phoneticPr fontId="7"/>
  </si>
  <si>
    <t>スクラップ</t>
    <phoneticPr fontId="7"/>
  </si>
  <si>
    <t>ＩＶ</t>
    <phoneticPr fontId="7"/>
  </si>
  <si>
    <t>(有価物）</t>
    <rPh sb="1" eb="4">
      <t>ユウカブツ</t>
    </rPh>
    <phoneticPr fontId="7"/>
  </si>
  <si>
    <t>　〃　</t>
    <phoneticPr fontId="7"/>
  </si>
  <si>
    <t>1.6(2sq)</t>
    <phoneticPr fontId="7"/>
  </si>
  <si>
    <t>　　</t>
    <phoneticPr fontId="7"/>
  </si>
  <si>
    <t>2.0(3.5sq)</t>
    <phoneticPr fontId="7"/>
  </si>
  <si>
    <t>2.6(5.5sq)</t>
    <phoneticPr fontId="7"/>
  </si>
  <si>
    <t>ＶＶＦ-2C</t>
    <phoneticPr fontId="7"/>
  </si>
  <si>
    <t xml:space="preserve"> </t>
    <phoneticPr fontId="5"/>
  </si>
  <si>
    <t>ＶＶＦ-3C</t>
    <phoneticPr fontId="7"/>
  </si>
  <si>
    <t>DV-２R</t>
  </si>
  <si>
    <t>DV-３R</t>
    <phoneticPr fontId="7"/>
  </si>
  <si>
    <t>ＣＶ-2C</t>
    <phoneticPr fontId="7"/>
  </si>
  <si>
    <t>ＣＶ-3C</t>
    <phoneticPr fontId="7"/>
  </si>
  <si>
    <t xml:space="preserve">  </t>
    <phoneticPr fontId="5"/>
  </si>
  <si>
    <t>ＣＶ-4C</t>
    <phoneticPr fontId="7"/>
  </si>
  <si>
    <t>CVT</t>
    <phoneticPr fontId="7"/>
  </si>
  <si>
    <t>（銅重はCV）</t>
    <rPh sb="1" eb="2">
      <t>ドウ</t>
    </rPh>
    <rPh sb="2" eb="3">
      <t>ジュウ</t>
    </rPh>
    <phoneticPr fontId="7"/>
  </si>
  <si>
    <t>6KVＣＶ</t>
    <phoneticPr fontId="7"/>
  </si>
  <si>
    <t>(6KVCV適用）</t>
    <rPh sb="6" eb="8">
      <t>テキヨウ</t>
    </rPh>
    <phoneticPr fontId="7"/>
  </si>
  <si>
    <t>合計</t>
    <phoneticPr fontId="5"/>
  </si>
  <si>
    <t>1.3mm以上</t>
    <rPh sb="5" eb="7">
      <t>イジョウ</t>
    </rPh>
    <phoneticPr fontId="7"/>
  </si>
  <si>
    <t>弱電ｹｰﾌﾞﾙ重量一覧表</t>
    <rPh sb="0" eb="2">
      <t>ジャクデン</t>
    </rPh>
    <rPh sb="7" eb="9">
      <t>ジュウリョウ</t>
    </rPh>
    <rPh sb="9" eb="11">
      <t>イチラン</t>
    </rPh>
    <rPh sb="11" eb="12">
      <t>ヒョウ</t>
    </rPh>
    <phoneticPr fontId="7"/>
  </si>
  <si>
    <t>数量</t>
    <rPh sb="0" eb="2">
      <t>スウリョウ</t>
    </rPh>
    <phoneticPr fontId="7"/>
  </si>
  <si>
    <t>ＣＶＶ 1.25sq</t>
    <phoneticPr fontId="7"/>
  </si>
  <si>
    <t>4C</t>
    <phoneticPr fontId="7"/>
  </si>
  <si>
    <t>ＣＶＶ 2sq</t>
    <phoneticPr fontId="7"/>
  </si>
  <si>
    <t>2C</t>
    <phoneticPr fontId="7"/>
  </si>
  <si>
    <t>3C</t>
    <phoneticPr fontId="7"/>
  </si>
  <si>
    <t>5C</t>
    <phoneticPr fontId="7"/>
  </si>
  <si>
    <t>6C</t>
    <phoneticPr fontId="7"/>
  </si>
  <si>
    <t>7C</t>
    <phoneticPr fontId="7"/>
  </si>
  <si>
    <t>8C</t>
    <phoneticPr fontId="7"/>
  </si>
  <si>
    <t>10C</t>
    <phoneticPr fontId="7"/>
  </si>
  <si>
    <t>12C</t>
    <phoneticPr fontId="7"/>
  </si>
  <si>
    <t>15C</t>
    <phoneticPr fontId="7"/>
  </si>
  <si>
    <t>20C</t>
    <phoneticPr fontId="7"/>
  </si>
  <si>
    <t>30C</t>
    <phoneticPr fontId="7"/>
  </si>
  <si>
    <t>ＣＶＶ 3.5sq</t>
    <phoneticPr fontId="7"/>
  </si>
  <si>
    <t xml:space="preserve">  </t>
    <phoneticPr fontId="7"/>
  </si>
  <si>
    <t xml:space="preserve"> </t>
    <phoneticPr fontId="7"/>
  </si>
  <si>
    <r>
      <t>HP･</t>
    </r>
    <r>
      <rPr>
        <b/>
        <sz val="9"/>
        <rFont val="OASYS明朝体"/>
        <family val="1"/>
        <charset val="128"/>
      </rPr>
      <t>CPEV</t>
    </r>
    <r>
      <rPr>
        <sz val="9"/>
        <rFont val="OASYS明朝体"/>
        <family val="1"/>
        <charset val="128"/>
      </rPr>
      <t>等</t>
    </r>
    <rPh sb="7" eb="8">
      <t>トウ</t>
    </rPh>
    <phoneticPr fontId="7"/>
  </si>
  <si>
    <t>0.65(0.5)</t>
    <phoneticPr fontId="7"/>
  </si>
  <si>
    <t>5P</t>
    <phoneticPr fontId="7"/>
  </si>
  <si>
    <t>7P</t>
    <phoneticPr fontId="7"/>
  </si>
  <si>
    <t>10P</t>
    <phoneticPr fontId="7"/>
  </si>
  <si>
    <t>20P</t>
    <phoneticPr fontId="7"/>
  </si>
  <si>
    <t>30P</t>
    <phoneticPr fontId="7"/>
  </si>
  <si>
    <t>50P</t>
    <phoneticPr fontId="7"/>
  </si>
  <si>
    <t>100P</t>
    <phoneticPr fontId="7"/>
  </si>
  <si>
    <t>HP･CPEV等</t>
    <rPh sb="7" eb="8">
      <t>トウ</t>
    </rPh>
    <phoneticPr fontId="7"/>
  </si>
  <si>
    <t>5C</t>
  </si>
  <si>
    <t>同軸ｹｰﾌﾞﾙ</t>
    <rPh sb="0" eb="2">
      <t>ドウジク</t>
    </rPh>
    <phoneticPr fontId="7"/>
  </si>
  <si>
    <t>5C-FB</t>
    <phoneticPr fontId="7"/>
  </si>
  <si>
    <t>(5C-2V）</t>
    <phoneticPr fontId="7"/>
  </si>
  <si>
    <t>7C-FB</t>
    <phoneticPr fontId="7"/>
  </si>
  <si>
    <t>ﾏｲｸｹｰﾌﾞﾙ</t>
    <phoneticPr fontId="7"/>
  </si>
  <si>
    <t>4E6</t>
    <phoneticPr fontId="7"/>
  </si>
  <si>
    <t>（MVVS0.75-2C）</t>
    <phoneticPr fontId="7"/>
  </si>
  <si>
    <t>1.3mm以下</t>
    <rPh sb="5" eb="7">
      <t>イカ</t>
    </rPh>
    <phoneticPr fontId="7"/>
  </si>
  <si>
    <t>配線器具等</t>
    <rPh sb="0" eb="2">
      <t>ハイセン</t>
    </rPh>
    <rPh sb="2" eb="4">
      <t>キグ</t>
    </rPh>
    <rPh sb="4" eb="5">
      <t>トウ</t>
    </rPh>
    <phoneticPr fontId="7"/>
  </si>
  <si>
    <t>単位
重量(kg)</t>
    <rPh sb="0" eb="2">
      <t>タンイ</t>
    </rPh>
    <rPh sb="3" eb="5">
      <t>ジュウリョウ</t>
    </rPh>
    <phoneticPr fontId="7"/>
  </si>
  <si>
    <t>産業廃棄物重量計</t>
    <phoneticPr fontId="5"/>
  </si>
  <si>
    <t>名称</t>
    <rPh sb="0" eb="2">
      <t>メイショウ</t>
    </rPh>
    <phoneticPr fontId="7"/>
  </si>
  <si>
    <t>鉄くず
(ｋｇ)</t>
    <phoneticPr fontId="7"/>
  </si>
  <si>
    <t>金属くず
（ｋｇ）</t>
    <phoneticPr fontId="7"/>
  </si>
  <si>
    <t>ｺﾝｾﾝﾄ</t>
    <phoneticPr fontId="7"/>
  </si>
  <si>
    <t>壁・床共</t>
    <rPh sb="0" eb="1">
      <t>カベ</t>
    </rPh>
    <rPh sb="2" eb="3">
      <t>ユカ</t>
    </rPh>
    <rPh sb="3" eb="4">
      <t>トモ</t>
    </rPh>
    <phoneticPr fontId="5"/>
  </si>
  <si>
    <t>ｽｲｯﾁ</t>
    <phoneticPr fontId="7"/>
  </si>
  <si>
    <t>　</t>
    <phoneticPr fontId="7"/>
  </si>
  <si>
    <t>換気扇25ｃｍ</t>
    <rPh sb="0" eb="3">
      <t>カンキセン</t>
    </rPh>
    <phoneticPr fontId="5"/>
  </si>
  <si>
    <t>換気扇30ｃｍ</t>
    <rPh sb="0" eb="3">
      <t>カンキセン</t>
    </rPh>
    <phoneticPr fontId="5"/>
  </si>
  <si>
    <t>ｼｬﾀｰ付</t>
    <rPh sb="4" eb="5">
      <t>ツキ</t>
    </rPh>
    <phoneticPr fontId="5"/>
  </si>
  <si>
    <t>押しボタン</t>
    <rPh sb="0" eb="1">
      <t>オ</t>
    </rPh>
    <phoneticPr fontId="5"/>
  </si>
  <si>
    <t>ﾓｼﾞｭﾗｰｺﾝｾﾝﾄ</t>
    <phoneticPr fontId="7"/>
  </si>
  <si>
    <t>情報ｺﾝｾﾝﾄ</t>
    <rPh sb="0" eb="2">
      <t>ジョウホウ</t>
    </rPh>
    <phoneticPr fontId="5"/>
  </si>
  <si>
    <t>テレビ端子</t>
    <rPh sb="3" eb="5">
      <t>タンシ</t>
    </rPh>
    <phoneticPr fontId="7"/>
  </si>
  <si>
    <t>分岐器</t>
    <rPh sb="0" eb="2">
      <t>ブンキ</t>
    </rPh>
    <rPh sb="2" eb="3">
      <t>キ</t>
    </rPh>
    <phoneticPr fontId="7"/>
  </si>
  <si>
    <t>分配器・混合器</t>
    <rPh sb="0" eb="3">
      <t>ブンパイキ</t>
    </rPh>
    <rPh sb="4" eb="6">
      <t>コンゴウ</t>
    </rPh>
    <rPh sb="6" eb="7">
      <t>キ</t>
    </rPh>
    <phoneticPr fontId="7"/>
  </si>
  <si>
    <t>増幅器</t>
    <rPh sb="0" eb="3">
      <t>ゾウフクキ</t>
    </rPh>
    <phoneticPr fontId="7"/>
  </si>
  <si>
    <t>アンテナ</t>
    <phoneticPr fontId="7"/>
  </si>
  <si>
    <t>U・V共</t>
    <rPh sb="3" eb="4">
      <t>トモ</t>
    </rPh>
    <phoneticPr fontId="5"/>
  </si>
  <si>
    <t>ｱﾝﾃﾅﾏｽﾄ</t>
    <phoneticPr fontId="7"/>
  </si>
  <si>
    <t>自立・壁面共</t>
    <rPh sb="0" eb="2">
      <t>ジリツ</t>
    </rPh>
    <rPh sb="3" eb="5">
      <t>ヘキメン</t>
    </rPh>
    <rPh sb="5" eb="6">
      <t>トモ</t>
    </rPh>
    <phoneticPr fontId="5"/>
  </si>
  <si>
    <t>ﾅｰｽｺｰﾙ</t>
    <phoneticPr fontId="7"/>
  </si>
  <si>
    <t>ｲﾝﾀｰﾎﾝ子機</t>
    <rPh sb="6" eb="8">
      <t>コキ</t>
    </rPh>
    <phoneticPr fontId="7"/>
  </si>
  <si>
    <t>ｲﾝﾀｰﾎﾝ親機</t>
    <rPh sb="6" eb="8">
      <t>オヤキ</t>
    </rPh>
    <phoneticPr fontId="7"/>
  </si>
  <si>
    <t>電極</t>
    <rPh sb="0" eb="2">
      <t>デンキョク</t>
    </rPh>
    <phoneticPr fontId="7"/>
  </si>
  <si>
    <t>リレー制御用T/U</t>
    <rPh sb="3" eb="5">
      <t>セイギョ</t>
    </rPh>
    <rPh sb="5" eb="6">
      <t>ヨウ</t>
    </rPh>
    <phoneticPr fontId="5"/>
  </si>
  <si>
    <t>T/U付6Aリレーユニット両切</t>
    <rPh sb="3" eb="4">
      <t>ツキ</t>
    </rPh>
    <rPh sb="13" eb="14">
      <t>リョウ</t>
    </rPh>
    <rPh sb="14" eb="15">
      <t>キリ</t>
    </rPh>
    <phoneticPr fontId="5"/>
  </si>
  <si>
    <t>20Aフルパワーリモコンリレー両切</t>
    <rPh sb="15" eb="17">
      <t>リョウキリ</t>
    </rPh>
    <phoneticPr fontId="5"/>
  </si>
  <si>
    <t>20Aフルパワーリモコンリレー片切</t>
    <rPh sb="15" eb="16">
      <t>カタ</t>
    </rPh>
    <rPh sb="16" eb="17">
      <t>キリ</t>
    </rPh>
    <phoneticPr fontId="5"/>
  </si>
  <si>
    <t>フル2線リモコン増幅器</t>
    <rPh sb="3" eb="4">
      <t>セン</t>
    </rPh>
    <rPh sb="8" eb="11">
      <t>ゾウフクキ</t>
    </rPh>
    <phoneticPr fontId="5"/>
  </si>
  <si>
    <t>小型リモコントランス</t>
    <rPh sb="0" eb="2">
      <t>コガタ</t>
    </rPh>
    <phoneticPr fontId="5"/>
  </si>
  <si>
    <t>信号線雷サージ防護ユニット</t>
    <rPh sb="0" eb="3">
      <t>シンゴウセン</t>
    </rPh>
    <rPh sb="3" eb="4">
      <t>カミナリ</t>
    </rPh>
    <phoneticPr fontId="5"/>
  </si>
  <si>
    <t>（個）</t>
    <rPh sb="1" eb="2">
      <t>コ</t>
    </rPh>
    <phoneticPr fontId="5"/>
  </si>
  <si>
    <t>鋼板</t>
    <rPh sb="0" eb="2">
      <t>コウハン</t>
    </rPh>
    <phoneticPr fontId="5"/>
  </si>
  <si>
    <t>プルボックス，分電盤，動力盤スクラップ重量計算書</t>
    <rPh sb="19" eb="21">
      <t>ジュウリョウ</t>
    </rPh>
    <rPh sb="21" eb="23">
      <t>ケイサン</t>
    </rPh>
    <rPh sb="23" eb="24">
      <t>ショ</t>
    </rPh>
    <phoneticPr fontId="5"/>
  </si>
  <si>
    <t>仕様</t>
    <rPh sb="0" eb="2">
      <t>シヨウ</t>
    </rPh>
    <phoneticPr fontId="5"/>
  </si>
  <si>
    <t>主幹</t>
    <rPh sb="0" eb="2">
      <t>シュカン</t>
    </rPh>
    <phoneticPr fontId="5"/>
  </si>
  <si>
    <t>分岐</t>
    <rPh sb="0" eb="2">
      <t>ブンキ</t>
    </rPh>
    <phoneticPr fontId="5"/>
  </si>
  <si>
    <t>高さH</t>
    <rPh sb="0" eb="1">
      <t>タカ</t>
    </rPh>
    <phoneticPr fontId="7"/>
  </si>
  <si>
    <t>幅W</t>
    <rPh sb="0" eb="1">
      <t>ハバ</t>
    </rPh>
    <phoneticPr fontId="7"/>
  </si>
  <si>
    <t>奥行D</t>
    <rPh sb="0" eb="2">
      <t>オクユ</t>
    </rPh>
    <phoneticPr fontId="7"/>
  </si>
  <si>
    <t>厚さｔ</t>
    <rPh sb="0" eb="1">
      <t>アツ</t>
    </rPh>
    <phoneticPr fontId="5"/>
  </si>
  <si>
    <t>体積</t>
    <rPh sb="0" eb="2">
      <t>タイセキ</t>
    </rPh>
    <phoneticPr fontId="5"/>
  </si>
  <si>
    <t>重量</t>
    <phoneticPr fontId="5"/>
  </si>
  <si>
    <t>スクラップ重量計</t>
    <phoneticPr fontId="5"/>
  </si>
  <si>
    <t>産業廃棄物
重量計</t>
    <rPh sb="0" eb="2">
      <t>サンギョウ</t>
    </rPh>
    <rPh sb="2" eb="5">
      <t>ハイキブツ</t>
    </rPh>
    <rPh sb="6" eb="9">
      <t>ジュウリョウケイ</t>
    </rPh>
    <phoneticPr fontId="5"/>
  </si>
  <si>
    <t>（ｍ）</t>
    <phoneticPr fontId="5"/>
  </si>
  <si>
    <t>（mm）</t>
    <phoneticPr fontId="5"/>
  </si>
  <si>
    <t>（m3）</t>
    <phoneticPr fontId="5"/>
  </si>
  <si>
    <t>（t/ｍ3）</t>
    <phoneticPr fontId="5"/>
  </si>
  <si>
    <t>鉄くず
（ｋｇ）</t>
    <rPh sb="0" eb="1">
      <t>テツ</t>
    </rPh>
    <phoneticPr fontId="5"/>
  </si>
  <si>
    <t>SUSくず
（ｋｇ）</t>
    <phoneticPr fontId="5"/>
  </si>
  <si>
    <t>廃プラ
（ｋｇ）</t>
    <rPh sb="0" eb="1">
      <t>ハイ</t>
    </rPh>
    <phoneticPr fontId="5"/>
  </si>
  <si>
    <t>ﾌﾟﾙﾎﾞｯｸｽ</t>
    <phoneticPr fontId="5"/>
  </si>
  <si>
    <t>SUS</t>
    <phoneticPr fontId="5"/>
  </si>
  <si>
    <t>金属　SBOX</t>
    <rPh sb="0" eb="2">
      <t>キンゾク</t>
    </rPh>
    <phoneticPr fontId="5"/>
  </si>
  <si>
    <t>ﾌﾟﾙﾎﾞｯｸｽ</t>
  </si>
  <si>
    <t>樹脂</t>
    <rPh sb="0" eb="2">
      <t>ジュシ</t>
    </rPh>
    <phoneticPr fontId="5"/>
  </si>
  <si>
    <t>Eﾓｰﾙ　分岐BOX</t>
    <rPh sb="5" eb="7">
      <t>ブンキ</t>
    </rPh>
    <phoneticPr fontId="5"/>
  </si>
  <si>
    <t>樹脂SBOX</t>
    <rPh sb="0" eb="2">
      <t>ジュシ</t>
    </rPh>
    <phoneticPr fontId="5"/>
  </si>
  <si>
    <t>小計</t>
    <rPh sb="0" eb="1">
      <t>ショウ</t>
    </rPh>
    <rPh sb="1" eb="2">
      <t>ケイ</t>
    </rPh>
    <phoneticPr fontId="5"/>
  </si>
  <si>
    <t>50AF以下</t>
    <rPh sb="4" eb="6">
      <t>イカ</t>
    </rPh>
    <phoneticPr fontId="5"/>
  </si>
  <si>
    <t>100AF以下</t>
    <rPh sb="5" eb="7">
      <t>イカ</t>
    </rPh>
    <phoneticPr fontId="5"/>
  </si>
  <si>
    <t>100AF以上</t>
    <rPh sb="5" eb="7">
      <t>イジョウ</t>
    </rPh>
    <phoneticPr fontId="5"/>
  </si>
  <si>
    <t>樹脂製</t>
    <rPh sb="0" eb="2">
      <t>ジュシ</t>
    </rPh>
    <rPh sb="2" eb="3">
      <t>セイ</t>
    </rPh>
    <phoneticPr fontId="5"/>
  </si>
  <si>
    <t>端子台10P</t>
    <rPh sb="0" eb="2">
      <t>タンシ</t>
    </rPh>
    <rPh sb="2" eb="3">
      <t>タイ</t>
    </rPh>
    <phoneticPr fontId="5"/>
  </si>
  <si>
    <t>端子台20P</t>
    <rPh sb="0" eb="2">
      <t>タンシ</t>
    </rPh>
    <rPh sb="2" eb="3">
      <t>ダイ</t>
    </rPh>
    <phoneticPr fontId="5"/>
  </si>
  <si>
    <t>端子台30P</t>
    <rPh sb="0" eb="2">
      <t>タンシ</t>
    </rPh>
    <rPh sb="2" eb="3">
      <t>ダイ</t>
    </rPh>
    <phoneticPr fontId="5"/>
  </si>
  <si>
    <t>端子盤</t>
    <rPh sb="0" eb="3">
      <t>タンシバン</t>
    </rPh>
    <phoneticPr fontId="5"/>
  </si>
  <si>
    <t>水道用端子盤</t>
    <rPh sb="0" eb="2">
      <t>スイドウ</t>
    </rPh>
    <rPh sb="2" eb="3">
      <t>ヨウ</t>
    </rPh>
    <rPh sb="3" eb="5">
      <t>タンシ</t>
    </rPh>
    <rPh sb="5" eb="6">
      <t>バン</t>
    </rPh>
    <phoneticPr fontId="5"/>
  </si>
  <si>
    <t>発生材処理</t>
    <rPh sb="0" eb="3">
      <t>ハッセイザイ</t>
    </rPh>
    <rPh sb="3" eb="5">
      <t>ショリ</t>
    </rPh>
    <phoneticPr fontId="5"/>
  </si>
  <si>
    <t>発生材処分費</t>
    <rPh sb="0" eb="3">
      <t>ハッセイザイ</t>
    </rPh>
    <rPh sb="3" eb="6">
      <t>ショブンヒ</t>
    </rPh>
    <phoneticPr fontId="3"/>
  </si>
  <si>
    <t>山口県国際総合センター照明器具改修(LED化)工事</t>
    <rPh sb="0" eb="3">
      <t>ヤマグチケン</t>
    </rPh>
    <rPh sb="3" eb="5">
      <t>コクサイ</t>
    </rPh>
    <rPh sb="5" eb="7">
      <t>ソウゴウ</t>
    </rPh>
    <rPh sb="11" eb="13">
      <t>ショウメイ</t>
    </rPh>
    <rPh sb="13" eb="15">
      <t>キグ</t>
    </rPh>
    <rPh sb="15" eb="17">
      <t>カイシュウ</t>
    </rPh>
    <rPh sb="21" eb="22">
      <t>カ</t>
    </rPh>
    <rPh sb="23" eb="25">
      <t>コウジ</t>
    </rPh>
    <phoneticPr fontId="7"/>
  </si>
  <si>
    <t>高層棟</t>
    <rPh sb="0" eb="3">
      <t>コウソウトウ</t>
    </rPh>
    <phoneticPr fontId="2"/>
  </si>
  <si>
    <t>電灯設備（電灯分岐）</t>
    <rPh sb="0" eb="2">
      <t>デントウ</t>
    </rPh>
    <rPh sb="2" eb="4">
      <t>セツビ</t>
    </rPh>
    <rPh sb="5" eb="9">
      <t>デントウブンキ</t>
    </rPh>
    <phoneticPr fontId="2"/>
  </si>
  <si>
    <t>高層棟</t>
    <rPh sb="0" eb="3">
      <t>コウソウトウ</t>
    </rPh>
    <phoneticPr fontId="5"/>
  </si>
  <si>
    <t>電灯設備（電灯分岐）</t>
    <rPh sb="0" eb="2">
      <t>デントウ</t>
    </rPh>
    <rPh sb="2" eb="4">
      <t>セツビ</t>
    </rPh>
    <rPh sb="5" eb="9">
      <t>デントウブンキ</t>
    </rPh>
    <phoneticPr fontId="5"/>
  </si>
  <si>
    <t>個</t>
    <rPh sb="0" eb="1">
      <t>コ</t>
    </rPh>
    <phoneticPr fontId="2"/>
  </si>
  <si>
    <t>直接仮設工事</t>
    <rPh sb="0" eb="6">
      <t>チョクセツカセツコウジ</t>
    </rPh>
    <phoneticPr fontId="5"/>
  </si>
  <si>
    <t>内部足場</t>
    <rPh sb="0" eb="4">
      <t>ナイブアシバ</t>
    </rPh>
    <phoneticPr fontId="3"/>
  </si>
  <si>
    <t>タワー棟</t>
    <rPh sb="3" eb="4">
      <t>トウ</t>
    </rPh>
    <phoneticPr fontId="5"/>
  </si>
  <si>
    <t>タワー棟</t>
    <rPh sb="3" eb="4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</si>
</sst>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.0_ "/>
    <numFmt numFmtId="177" formatCode="#,##0.00;&quot;▲ &quot;#,##0.00"/>
    <numFmt numFmtId="178" formatCode="#,##0_);[Red]\(#,##0\)"/>
    <numFmt numFmtId="179" formatCode="#,##0.00_);[Red]\(#,##0.00\)"/>
    <numFmt numFmtId="180" formatCode="0.000_ "/>
    <numFmt numFmtId="181" formatCode="0.0"/>
    <numFmt numFmtId="182" formatCode="0.0000_ "/>
    <numFmt numFmtId="183" formatCode="#,##0.000_);[Red]\(#,##0.000\)"/>
    <numFmt numFmtId="184" formatCode="0.0_ "/>
    <numFmt numFmtId="185" formatCode="0.0000_);[Red]\(0.0000\)"/>
    <numFmt numFmtId="186" formatCode="0.000_);[Red]\(0.000\)"/>
    <numFmt numFmtId="187" formatCode="0.00_);[Red]\(0.00\)"/>
    <numFmt numFmtId="188" formatCode="0.00_ "/>
    <numFmt numFmtId="189" formatCode="0.0000000"/>
    <numFmt numFmtId="190" formatCode="#,##0.000"/>
    <numFmt numFmtId="191" formatCode="#,##0;&quot;△ &quot;#,##0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OASYS明朝体"/>
      <family val="1"/>
      <charset val="128"/>
    </font>
    <font>
      <b/>
      <sz val="14"/>
      <name val="OASYS明朝体"/>
      <family val="1"/>
      <charset val="128"/>
    </font>
    <font>
      <sz val="9"/>
      <name val="OASYS明朝体"/>
      <family val="1"/>
      <charset val="128"/>
    </font>
    <font>
      <sz val="11"/>
      <color rgb="FFFF0000"/>
      <name val="ＭＳ Ｐゴシック"/>
      <family val="3"/>
      <charset val="128"/>
    </font>
    <font>
      <sz val="10"/>
      <name val="OASYS明朝体"/>
      <family val="1"/>
      <charset val="128"/>
    </font>
    <font>
      <b/>
      <sz val="9"/>
      <name val="OASYS明朝体"/>
      <family val="1"/>
      <charset val="128"/>
    </font>
    <font>
      <b/>
      <sz val="11"/>
      <name val="OASYS明朝体"/>
      <family val="1"/>
      <charset val="128"/>
    </font>
    <font>
      <b/>
      <sz val="11"/>
      <name val="ＭＳ Ｐ明朝"/>
      <family val="1"/>
      <charset val="128"/>
    </font>
    <font>
      <sz val="10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4" fillId="0" borderId="0"/>
    <xf numFmtId="0" fontId="13" fillId="0" borderId="0"/>
    <xf numFmtId="0" fontId="4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</cellStyleXfs>
  <cellXfs count="806">
    <xf numFmtId="0" fontId="0" fillId="0" borderId="0" xfId="0">
      <alignment vertical="center"/>
    </xf>
    <xf numFmtId="0" fontId="4" fillId="0" borderId="0" xfId="2"/>
    <xf numFmtId="0" fontId="9" fillId="0" borderId="0" xfId="2" applyFont="1"/>
    <xf numFmtId="3" fontId="9" fillId="0" borderId="0" xfId="2" applyNumberFormat="1" applyFont="1" applyAlignment="1">
      <alignment horizontal="center" vertical="center"/>
    </xf>
    <xf numFmtId="0" fontId="9" fillId="0" borderId="52" xfId="2" applyFont="1" applyBorder="1" applyAlignment="1">
      <alignment horizontal="center" vertical="center"/>
    </xf>
    <xf numFmtId="0" fontId="9" fillId="0" borderId="53" xfId="2" applyFont="1" applyBorder="1"/>
    <xf numFmtId="0" fontId="10" fillId="0" borderId="47" xfId="2" applyFont="1" applyBorder="1"/>
    <xf numFmtId="177" fontId="9" fillId="0" borderId="47" xfId="2" applyNumberFormat="1" applyFont="1" applyBorder="1"/>
    <xf numFmtId="0" fontId="9" fillId="0" borderId="47" xfId="2" applyFont="1" applyBorder="1" applyAlignment="1">
      <alignment horizontal="center"/>
    </xf>
    <xf numFmtId="3" fontId="9" fillId="0" borderId="47" xfId="2" applyNumberFormat="1" applyFont="1" applyBorder="1"/>
    <xf numFmtId="3" fontId="9" fillId="0" borderId="54" xfId="2" applyNumberFormat="1" applyFont="1" applyBorder="1"/>
    <xf numFmtId="3" fontId="9" fillId="0" borderId="0" xfId="2" applyNumberFormat="1" applyFont="1"/>
    <xf numFmtId="0" fontId="9" fillId="0" borderId="0" xfId="2" applyFont="1" applyAlignment="1">
      <alignment vertical="center"/>
    </xf>
    <xf numFmtId="0" fontId="9" fillId="0" borderId="55" xfId="2" applyFont="1" applyBorder="1" applyAlignment="1">
      <alignment horizontal="center"/>
    </xf>
    <xf numFmtId="0" fontId="9" fillId="0" borderId="56" xfId="2" applyFont="1" applyBorder="1"/>
    <xf numFmtId="0" fontId="10" fillId="0" borderId="57" xfId="2" applyFont="1" applyBorder="1"/>
    <xf numFmtId="177" fontId="9" fillId="0" borderId="57" xfId="2" applyNumberFormat="1" applyFont="1" applyBorder="1"/>
    <xf numFmtId="0" fontId="9" fillId="0" borderId="57" xfId="2" applyFont="1" applyBorder="1" applyAlignment="1">
      <alignment horizontal="center"/>
    </xf>
    <xf numFmtId="3" fontId="9" fillId="0" borderId="57" xfId="2" applyNumberFormat="1" applyFont="1" applyBorder="1"/>
    <xf numFmtId="3" fontId="9" fillId="0" borderId="37" xfId="2" applyNumberFormat="1" applyFont="1" applyBorder="1"/>
    <xf numFmtId="0" fontId="9" fillId="0" borderId="58" xfId="2" applyFont="1" applyBorder="1" applyAlignment="1">
      <alignment horizontal="center" vertical="center"/>
    </xf>
    <xf numFmtId="0" fontId="9" fillId="0" borderId="47" xfId="2" applyFont="1" applyBorder="1"/>
    <xf numFmtId="176" fontId="9" fillId="0" borderId="47" xfId="2" applyNumberFormat="1" applyFont="1" applyBorder="1"/>
    <xf numFmtId="0" fontId="9" fillId="0" borderId="55" xfId="2" applyFont="1" applyBorder="1"/>
    <xf numFmtId="0" fontId="9" fillId="0" borderId="57" xfId="2" applyFont="1" applyBorder="1"/>
    <xf numFmtId="176" fontId="9" fillId="0" borderId="57" xfId="2" applyNumberFormat="1" applyFont="1" applyBorder="1"/>
    <xf numFmtId="0" fontId="9" fillId="0" borderId="58" xfId="2" applyFont="1" applyBorder="1"/>
    <xf numFmtId="0" fontId="9" fillId="0" borderId="57" xfId="2" applyFont="1" applyBorder="1" applyAlignment="1">
      <alignment horizontal="left"/>
    </xf>
    <xf numFmtId="0" fontId="9" fillId="0" borderId="20" xfId="2" applyFont="1" applyBorder="1" applyAlignment="1">
      <alignment horizontal="center"/>
    </xf>
    <xf numFmtId="0" fontId="9" fillId="0" borderId="43" xfId="2" applyFont="1" applyBorder="1" applyAlignment="1">
      <alignment horizontal="center"/>
    </xf>
    <xf numFmtId="0" fontId="9" fillId="0" borderId="43" xfId="2" applyFont="1" applyBorder="1"/>
    <xf numFmtId="176" fontId="9" fillId="0" borderId="43" xfId="2" applyNumberFormat="1" applyFont="1" applyBorder="1"/>
    <xf numFmtId="3" fontId="9" fillId="0" borderId="43" xfId="2" applyNumberFormat="1" applyFont="1" applyBorder="1"/>
    <xf numFmtId="3" fontId="9" fillId="0" borderId="17" xfId="2" applyNumberFormat="1" applyFont="1" applyBorder="1"/>
    <xf numFmtId="0" fontId="9" fillId="0" borderId="46" xfId="2" applyFont="1" applyBorder="1" applyAlignment="1">
      <alignment vertical="center"/>
    </xf>
    <xf numFmtId="0" fontId="9" fillId="0" borderId="49" xfId="2" applyFont="1" applyBorder="1"/>
    <xf numFmtId="0" fontId="9" fillId="0" borderId="50" xfId="2" applyFont="1" applyBorder="1"/>
    <xf numFmtId="176" fontId="9" fillId="0" borderId="50" xfId="2" applyNumberFormat="1" applyFont="1" applyBorder="1"/>
    <xf numFmtId="0" fontId="9" fillId="0" borderId="50" xfId="2" applyFont="1" applyBorder="1" applyAlignment="1">
      <alignment horizontal="center"/>
    </xf>
    <xf numFmtId="3" fontId="9" fillId="0" borderId="50" xfId="2" applyNumberFormat="1" applyFont="1" applyBorder="1"/>
    <xf numFmtId="3" fontId="9" fillId="0" borderId="14" xfId="2" applyNumberFormat="1" applyFont="1" applyBorder="1"/>
    <xf numFmtId="0" fontId="9" fillId="0" borderId="58" xfId="2" applyFont="1" applyBorder="1" applyAlignment="1">
      <alignment vertical="center"/>
    </xf>
    <xf numFmtId="0" fontId="9" fillId="0" borderId="20" xfId="2" applyFont="1" applyBorder="1"/>
    <xf numFmtId="0" fontId="4" fillId="0" borderId="38" xfId="2" applyBorder="1"/>
    <xf numFmtId="0" fontId="9" fillId="0" borderId="29" xfId="2" applyFont="1" applyBorder="1"/>
    <xf numFmtId="0" fontId="9" fillId="0" borderId="53" xfId="0" applyFont="1" applyBorder="1" applyAlignment="1"/>
    <xf numFmtId="0" fontId="9" fillId="0" borderId="47" xfId="0" applyFont="1" applyBorder="1" applyAlignment="1"/>
    <xf numFmtId="176" fontId="9" fillId="0" borderId="47" xfId="0" applyNumberFormat="1" applyFont="1" applyBorder="1" applyAlignment="1"/>
    <xf numFmtId="0" fontId="9" fillId="0" borderId="47" xfId="0" applyFont="1" applyBorder="1" applyAlignment="1">
      <alignment horizontal="center"/>
    </xf>
    <xf numFmtId="0" fontId="9" fillId="0" borderId="56" xfId="0" applyFont="1" applyBorder="1" applyAlignment="1"/>
    <xf numFmtId="0" fontId="9" fillId="0" borderId="57" xfId="0" applyFont="1" applyBorder="1" applyAlignment="1"/>
    <xf numFmtId="176" fontId="9" fillId="0" borderId="57" xfId="0" applyNumberFormat="1" applyFont="1" applyBorder="1" applyAlignment="1"/>
    <xf numFmtId="0" fontId="9" fillId="0" borderId="57" xfId="0" applyFont="1" applyBorder="1" applyAlignment="1">
      <alignment horizontal="center"/>
    </xf>
    <xf numFmtId="0" fontId="9" fillId="0" borderId="43" xfId="0" applyFont="1" applyBorder="1" applyAlignment="1">
      <alignment horizontal="distributed" justifyLastLine="1"/>
    </xf>
    <xf numFmtId="0" fontId="9" fillId="0" borderId="56" xfId="2" applyFont="1" applyBorder="1" applyAlignment="1">
      <alignment horizontal="center"/>
    </xf>
    <xf numFmtId="0" fontId="9" fillId="0" borderId="56" xfId="2" applyFont="1" applyBorder="1" applyAlignment="1">
      <alignment horizontal="distributed" justifyLastLine="1"/>
    </xf>
    <xf numFmtId="0" fontId="9" fillId="0" borderId="29" xfId="2" applyFont="1" applyBorder="1" applyAlignment="1">
      <alignment horizontal="distributed" justifyLastLine="1"/>
    </xf>
    <xf numFmtId="0" fontId="6" fillId="3" borderId="0" xfId="2" applyFont="1" applyFill="1" applyAlignment="1">
      <alignment vertical="center"/>
    </xf>
    <xf numFmtId="179" fontId="6" fillId="3" borderId="0" xfId="2" applyNumberFormat="1" applyFont="1" applyFill="1" applyAlignment="1">
      <alignment vertical="center"/>
    </xf>
    <xf numFmtId="179" fontId="6" fillId="2" borderId="0" xfId="2" applyNumberFormat="1" applyFont="1" applyFill="1" applyAlignment="1">
      <alignment horizontal="centerContinuous" vertical="center" shrinkToFit="1"/>
    </xf>
    <xf numFmtId="0" fontId="6" fillId="3" borderId="0" xfId="2" applyFont="1" applyFill="1" applyAlignment="1">
      <alignment horizontal="center" vertical="center" shrinkToFit="1"/>
    </xf>
    <xf numFmtId="0" fontId="6" fillId="3" borderId="60" xfId="2" applyFont="1" applyFill="1" applyBorder="1" applyAlignment="1">
      <alignment horizontal="center" vertical="center"/>
    </xf>
    <xf numFmtId="179" fontId="11" fillId="3" borderId="60" xfId="2" applyNumberFormat="1" applyFont="1" applyFill="1" applyBorder="1" applyAlignment="1">
      <alignment horizontal="centerContinuous" vertical="center"/>
    </xf>
    <xf numFmtId="179" fontId="11" fillId="3" borderId="61" xfId="2" applyNumberFormat="1" applyFont="1" applyFill="1" applyBorder="1" applyAlignment="1">
      <alignment horizontal="centerContinuous" vertical="center"/>
    </xf>
    <xf numFmtId="0" fontId="6" fillId="3" borderId="59" xfId="2" applyFont="1" applyFill="1" applyBorder="1" applyAlignment="1">
      <alignment horizontal="center" vertical="center" shrinkToFit="1"/>
    </xf>
    <xf numFmtId="0" fontId="6" fillId="3" borderId="60" xfId="2" applyFont="1" applyFill="1" applyBorder="1" applyAlignment="1">
      <alignment horizontal="center" vertical="center" shrinkToFit="1"/>
    </xf>
    <xf numFmtId="0" fontId="6" fillId="3" borderId="61" xfId="2" applyFont="1" applyFill="1" applyBorder="1" applyAlignment="1">
      <alignment horizontal="center" vertical="center" shrinkToFit="1"/>
    </xf>
    <xf numFmtId="0" fontId="6" fillId="3" borderId="31" xfId="2" applyFont="1" applyFill="1" applyBorder="1" applyAlignment="1">
      <alignment horizontal="center" vertical="center"/>
    </xf>
    <xf numFmtId="179" fontId="11" fillId="3" borderId="13" xfId="2" applyNumberFormat="1" applyFont="1" applyFill="1" applyBorder="1" applyAlignment="1">
      <alignment horizontal="center" vertical="center"/>
    </xf>
    <xf numFmtId="179" fontId="11" fillId="3" borderId="63" xfId="2" applyNumberFormat="1" applyFont="1" applyFill="1" applyBorder="1" applyAlignment="1">
      <alignment horizontal="center" vertical="center"/>
    </xf>
    <xf numFmtId="0" fontId="6" fillId="3" borderId="62" xfId="2" applyFont="1" applyFill="1" applyBorder="1" applyAlignment="1">
      <alignment horizontal="center" vertical="center" shrinkToFit="1"/>
    </xf>
    <xf numFmtId="0" fontId="6" fillId="3" borderId="31" xfId="2" applyFont="1" applyFill="1" applyBorder="1" applyAlignment="1">
      <alignment horizontal="center" vertical="center" shrinkToFit="1"/>
    </xf>
    <xf numFmtId="0" fontId="6" fillId="3" borderId="64" xfId="2" applyFont="1" applyFill="1" applyBorder="1" applyAlignment="1">
      <alignment horizontal="center" vertical="center" shrinkToFit="1"/>
    </xf>
    <xf numFmtId="0" fontId="6" fillId="3" borderId="66" xfId="2" applyFont="1" applyFill="1" applyBorder="1" applyAlignment="1">
      <alignment vertical="center"/>
    </xf>
    <xf numFmtId="0" fontId="6" fillId="3" borderId="66" xfId="2" applyFont="1" applyFill="1" applyBorder="1" applyAlignment="1">
      <alignment horizontal="center" vertical="center"/>
    </xf>
    <xf numFmtId="179" fontId="6" fillId="3" borderId="66" xfId="2" applyNumberFormat="1" applyFont="1" applyFill="1" applyBorder="1" applyAlignment="1">
      <alignment horizontal="center" vertical="center"/>
    </xf>
    <xf numFmtId="179" fontId="6" fillId="3" borderId="67" xfId="2" applyNumberFormat="1" applyFont="1" applyFill="1" applyBorder="1" applyAlignment="1">
      <alignment horizontal="center" vertical="center"/>
    </xf>
    <xf numFmtId="0" fontId="6" fillId="3" borderId="68" xfId="2" applyFont="1" applyFill="1" applyBorder="1" applyAlignment="1">
      <alignment horizontal="center" vertical="center" shrinkToFit="1"/>
    </xf>
    <xf numFmtId="0" fontId="6" fillId="3" borderId="16" xfId="2" applyFont="1" applyFill="1" applyBorder="1" applyAlignment="1">
      <alignment horizontal="center" vertical="center" shrinkToFit="1"/>
    </xf>
    <xf numFmtId="0" fontId="6" fillId="3" borderId="69" xfId="2" applyFont="1" applyFill="1" applyBorder="1" applyAlignment="1">
      <alignment horizontal="center" vertical="center" shrinkToFit="1"/>
    </xf>
    <xf numFmtId="0" fontId="6" fillId="3" borderId="70" xfId="2" applyFont="1" applyFill="1" applyBorder="1" applyAlignment="1">
      <alignment vertical="center"/>
    </xf>
    <xf numFmtId="0" fontId="6" fillId="3" borderId="71" xfId="2" applyFont="1" applyFill="1" applyBorder="1" applyAlignment="1">
      <alignment horizontal="center" vertical="center"/>
    </xf>
    <xf numFmtId="180" fontId="6" fillId="3" borderId="71" xfId="2" applyNumberFormat="1" applyFont="1" applyFill="1" applyBorder="1" applyAlignment="1">
      <alignment vertical="center"/>
    </xf>
    <xf numFmtId="0" fontId="6" fillId="2" borderId="71" xfId="2" applyFont="1" applyFill="1" applyBorder="1" applyAlignment="1">
      <alignment vertical="center"/>
    </xf>
    <xf numFmtId="179" fontId="6" fillId="3" borderId="71" xfId="2" applyNumberFormat="1" applyFont="1" applyFill="1" applyBorder="1" applyAlignment="1">
      <alignment vertical="center"/>
    </xf>
    <xf numFmtId="179" fontId="6" fillId="4" borderId="71" xfId="2" applyNumberFormat="1" applyFont="1" applyFill="1" applyBorder="1" applyAlignment="1">
      <alignment vertical="center"/>
    </xf>
    <xf numFmtId="179" fontId="6" fillId="3" borderId="72" xfId="2" applyNumberFormat="1" applyFont="1" applyFill="1" applyBorder="1" applyAlignment="1">
      <alignment vertical="center"/>
    </xf>
    <xf numFmtId="0" fontId="6" fillId="3" borderId="73" xfId="2" applyFont="1" applyFill="1" applyBorder="1" applyAlignment="1">
      <alignment horizontal="center" vertical="center" shrinkToFit="1"/>
    </xf>
    <xf numFmtId="0" fontId="6" fillId="3" borderId="74" xfId="2" applyFont="1" applyFill="1" applyBorder="1" applyAlignment="1">
      <alignment horizontal="center" vertical="center" shrinkToFit="1"/>
    </xf>
    <xf numFmtId="0" fontId="6" fillId="3" borderId="75" xfId="2" applyFont="1" applyFill="1" applyBorder="1" applyAlignment="1">
      <alignment horizontal="center" vertical="center" shrinkToFit="1"/>
    </xf>
    <xf numFmtId="0" fontId="6" fillId="3" borderId="76" xfId="2" applyFont="1" applyFill="1" applyBorder="1" applyAlignment="1">
      <alignment vertical="center"/>
    </xf>
    <xf numFmtId="0" fontId="6" fillId="3" borderId="77" xfId="2" applyFont="1" applyFill="1" applyBorder="1" applyAlignment="1">
      <alignment horizontal="center" vertical="center"/>
    </xf>
    <xf numFmtId="180" fontId="6" fillId="3" borderId="77" xfId="2" applyNumberFormat="1" applyFont="1" applyFill="1" applyBorder="1" applyAlignment="1">
      <alignment vertical="center"/>
    </xf>
    <xf numFmtId="0" fontId="6" fillId="2" borderId="77" xfId="2" applyFont="1" applyFill="1" applyBorder="1" applyAlignment="1">
      <alignment vertical="center"/>
    </xf>
    <xf numFmtId="179" fontId="6" fillId="3" borderId="77" xfId="2" applyNumberFormat="1" applyFont="1" applyFill="1" applyBorder="1" applyAlignment="1">
      <alignment vertical="center"/>
    </xf>
    <xf numFmtId="179" fontId="6" fillId="4" borderId="77" xfId="2" applyNumberFormat="1" applyFont="1" applyFill="1" applyBorder="1" applyAlignment="1">
      <alignment vertical="center"/>
    </xf>
    <xf numFmtId="179" fontId="6" fillId="3" borderId="78" xfId="2" applyNumberFormat="1" applyFont="1" applyFill="1" applyBorder="1" applyAlignment="1">
      <alignment vertical="center"/>
    </xf>
    <xf numFmtId="0" fontId="6" fillId="3" borderId="79" xfId="2" applyFont="1" applyFill="1" applyBorder="1" applyAlignment="1">
      <alignment horizontal="center" vertical="center" shrinkToFit="1"/>
    </xf>
    <xf numFmtId="0" fontId="6" fillId="3" borderId="80" xfId="2" applyFont="1" applyFill="1" applyBorder="1" applyAlignment="1">
      <alignment horizontal="center" vertical="center" shrinkToFit="1"/>
    </xf>
    <xf numFmtId="0" fontId="6" fillId="3" borderId="81" xfId="2" applyFont="1" applyFill="1" applyBorder="1" applyAlignment="1">
      <alignment horizontal="center" vertical="center" shrinkToFit="1"/>
    </xf>
    <xf numFmtId="0" fontId="6" fillId="3" borderId="82" xfId="2" applyFont="1" applyFill="1" applyBorder="1" applyAlignment="1">
      <alignment vertical="center"/>
    </xf>
    <xf numFmtId="0" fontId="6" fillId="3" borderId="83" xfId="2" applyFont="1" applyFill="1" applyBorder="1" applyAlignment="1">
      <alignment horizontal="center" vertical="center"/>
    </xf>
    <xf numFmtId="180" fontId="6" fillId="3" borderId="83" xfId="2" applyNumberFormat="1" applyFont="1" applyFill="1" applyBorder="1" applyAlignment="1">
      <alignment vertical="center"/>
    </xf>
    <xf numFmtId="0" fontId="6" fillId="2" borderId="83" xfId="2" applyFont="1" applyFill="1" applyBorder="1" applyAlignment="1">
      <alignment vertical="center"/>
    </xf>
    <xf numFmtId="179" fontId="6" fillId="3" borderId="83" xfId="2" applyNumberFormat="1" applyFont="1" applyFill="1" applyBorder="1" applyAlignment="1">
      <alignment vertical="center"/>
    </xf>
    <xf numFmtId="179" fontId="6" fillId="4" borderId="83" xfId="2" applyNumberFormat="1" applyFont="1" applyFill="1" applyBorder="1" applyAlignment="1">
      <alignment vertical="center"/>
    </xf>
    <xf numFmtId="179" fontId="6" fillId="3" borderId="84" xfId="2" applyNumberFormat="1" applyFont="1" applyFill="1" applyBorder="1" applyAlignment="1">
      <alignment vertical="center"/>
    </xf>
    <xf numFmtId="0" fontId="6" fillId="3" borderId="85" xfId="2" applyFont="1" applyFill="1" applyBorder="1" applyAlignment="1">
      <alignment vertical="center"/>
    </xf>
    <xf numFmtId="0" fontId="6" fillId="3" borderId="23" xfId="2" applyFont="1" applyFill="1" applyBorder="1" applyAlignment="1">
      <alignment horizontal="center" vertical="center"/>
    </xf>
    <xf numFmtId="180" fontId="6" fillId="3" borderId="23" xfId="2" applyNumberFormat="1" applyFont="1" applyFill="1" applyBorder="1" applyAlignment="1">
      <alignment vertical="center"/>
    </xf>
    <xf numFmtId="0" fontId="6" fillId="2" borderId="23" xfId="2" applyFont="1" applyFill="1" applyBorder="1" applyAlignment="1">
      <alignment vertical="center"/>
    </xf>
    <xf numFmtId="179" fontId="6" fillId="3" borderId="23" xfId="2" applyNumberFormat="1" applyFont="1" applyFill="1" applyBorder="1" applyAlignment="1">
      <alignment vertical="center"/>
    </xf>
    <xf numFmtId="179" fontId="6" fillId="4" borderId="23" xfId="2" applyNumberFormat="1" applyFont="1" applyFill="1" applyBorder="1" applyAlignment="1">
      <alignment vertical="center"/>
    </xf>
    <xf numFmtId="179" fontId="6" fillId="3" borderId="86" xfId="2" applyNumberFormat="1" applyFont="1" applyFill="1" applyBorder="1" applyAlignment="1">
      <alignment vertical="center"/>
    </xf>
    <xf numFmtId="0" fontId="6" fillId="3" borderId="27" xfId="2" applyFont="1" applyFill="1" applyBorder="1" applyAlignment="1">
      <alignment horizontal="center" vertical="center"/>
    </xf>
    <xf numFmtId="180" fontId="6" fillId="3" borderId="27" xfId="2" applyNumberFormat="1" applyFont="1" applyFill="1" applyBorder="1" applyAlignment="1">
      <alignment vertical="center"/>
    </xf>
    <xf numFmtId="0" fontId="6" fillId="2" borderId="27" xfId="2" applyFont="1" applyFill="1" applyBorder="1" applyAlignment="1">
      <alignment vertical="center"/>
    </xf>
    <xf numFmtId="179" fontId="6" fillId="3" borderId="27" xfId="2" applyNumberFormat="1" applyFont="1" applyFill="1" applyBorder="1" applyAlignment="1">
      <alignment vertical="center"/>
    </xf>
    <xf numFmtId="179" fontId="6" fillId="4" borderId="27" xfId="2" applyNumberFormat="1" applyFont="1" applyFill="1" applyBorder="1" applyAlignment="1">
      <alignment vertical="center"/>
    </xf>
    <xf numFmtId="179" fontId="6" fillId="3" borderId="87" xfId="2" applyNumberFormat="1" applyFont="1" applyFill="1" applyBorder="1" applyAlignment="1">
      <alignment vertical="center"/>
    </xf>
    <xf numFmtId="0" fontId="6" fillId="3" borderId="88" xfId="2" applyFont="1" applyFill="1" applyBorder="1" applyAlignment="1">
      <alignment vertical="center"/>
    </xf>
    <xf numFmtId="0" fontId="6" fillId="3" borderId="89" xfId="2" applyFont="1" applyFill="1" applyBorder="1" applyAlignment="1">
      <alignment horizontal="center" vertical="center"/>
    </xf>
    <xf numFmtId="180" fontId="6" fillId="3" borderId="89" xfId="2" applyNumberFormat="1" applyFont="1" applyFill="1" applyBorder="1" applyAlignment="1">
      <alignment vertical="center"/>
    </xf>
    <xf numFmtId="0" fontId="6" fillId="2" borderId="89" xfId="2" applyFont="1" applyFill="1" applyBorder="1" applyAlignment="1">
      <alignment vertical="center"/>
    </xf>
    <xf numFmtId="179" fontId="6" fillId="3" borderId="89" xfId="2" applyNumberFormat="1" applyFont="1" applyFill="1" applyBorder="1" applyAlignment="1">
      <alignment vertical="center"/>
    </xf>
    <xf numFmtId="179" fontId="6" fillId="4" borderId="89" xfId="2" applyNumberFormat="1" applyFont="1" applyFill="1" applyBorder="1" applyAlignment="1">
      <alignment vertical="center"/>
    </xf>
    <xf numFmtId="179" fontId="6" fillId="3" borderId="90" xfId="2" applyNumberFormat="1" applyFont="1" applyFill="1" applyBorder="1" applyAlignment="1">
      <alignment vertical="center"/>
    </xf>
    <xf numFmtId="0" fontId="6" fillId="3" borderId="91" xfId="2" applyFont="1" applyFill="1" applyBorder="1" applyAlignment="1">
      <alignment horizontal="center" vertical="center"/>
    </xf>
    <xf numFmtId="180" fontId="6" fillId="3" borderId="91" xfId="2" applyNumberFormat="1" applyFont="1" applyFill="1" applyBorder="1" applyAlignment="1">
      <alignment vertical="center"/>
    </xf>
    <xf numFmtId="0" fontId="6" fillId="2" borderId="91" xfId="2" applyFont="1" applyFill="1" applyBorder="1" applyAlignment="1">
      <alignment vertical="center"/>
    </xf>
    <xf numFmtId="179" fontId="6" fillId="3" borderId="91" xfId="2" applyNumberFormat="1" applyFont="1" applyFill="1" applyBorder="1" applyAlignment="1">
      <alignment vertical="center"/>
    </xf>
    <xf numFmtId="179" fontId="6" fillId="4" borderId="91" xfId="2" applyNumberFormat="1" applyFont="1" applyFill="1" applyBorder="1" applyAlignment="1">
      <alignment vertical="center"/>
    </xf>
    <xf numFmtId="179" fontId="6" fillId="3" borderId="92" xfId="2" applyNumberFormat="1" applyFont="1" applyFill="1" applyBorder="1" applyAlignment="1">
      <alignment vertical="center"/>
    </xf>
    <xf numFmtId="0" fontId="6" fillId="3" borderId="93" xfId="2" applyFont="1" applyFill="1" applyBorder="1" applyAlignment="1">
      <alignment horizontal="left" vertical="center"/>
    </xf>
    <xf numFmtId="0" fontId="6" fillId="3" borderId="76" xfId="2" applyFont="1" applyFill="1" applyBorder="1" applyAlignment="1">
      <alignment horizontal="left" vertical="center"/>
    </xf>
    <xf numFmtId="0" fontId="6" fillId="3" borderId="76" xfId="2" applyFont="1" applyFill="1" applyBorder="1" applyAlignment="1">
      <alignment horizontal="center" vertical="center"/>
    </xf>
    <xf numFmtId="0" fontId="6" fillId="3" borderId="94" xfId="2" applyFont="1" applyFill="1" applyBorder="1" applyAlignment="1">
      <alignment horizontal="center" vertical="center"/>
    </xf>
    <xf numFmtId="0" fontId="6" fillId="3" borderId="95" xfId="2" applyFont="1" applyFill="1" applyBorder="1" applyAlignment="1">
      <alignment horizontal="center" vertical="center"/>
    </xf>
    <xf numFmtId="180" fontId="6" fillId="3" borderId="95" xfId="2" applyNumberFormat="1" applyFont="1" applyFill="1" applyBorder="1" applyAlignment="1">
      <alignment vertical="center"/>
    </xf>
    <xf numFmtId="0" fontId="6" fillId="2" borderId="95" xfId="2" applyFont="1" applyFill="1" applyBorder="1" applyAlignment="1">
      <alignment vertical="center"/>
    </xf>
    <xf numFmtId="179" fontId="6" fillId="3" borderId="95" xfId="2" applyNumberFormat="1" applyFont="1" applyFill="1" applyBorder="1" applyAlignment="1">
      <alignment vertical="center"/>
    </xf>
    <xf numFmtId="179" fontId="6" fillId="4" borderId="95" xfId="2" applyNumberFormat="1" applyFont="1" applyFill="1" applyBorder="1" applyAlignment="1">
      <alignment vertical="center"/>
    </xf>
    <xf numFmtId="179" fontId="6" fillId="3" borderId="96" xfId="2" applyNumberFormat="1" applyFont="1" applyFill="1" applyBorder="1" applyAlignment="1">
      <alignment vertical="center"/>
    </xf>
    <xf numFmtId="179" fontId="6" fillId="4" borderId="92" xfId="2" applyNumberFormat="1" applyFont="1" applyFill="1" applyBorder="1" applyAlignment="1">
      <alignment vertical="center"/>
    </xf>
    <xf numFmtId="179" fontId="6" fillId="4" borderId="78" xfId="2" applyNumberFormat="1" applyFont="1" applyFill="1" applyBorder="1" applyAlignment="1">
      <alignment vertical="center"/>
    </xf>
    <xf numFmtId="0" fontId="6" fillId="3" borderId="88" xfId="2" applyFont="1" applyFill="1" applyBorder="1" applyAlignment="1">
      <alignment horizontal="left" vertical="center"/>
    </xf>
    <xf numFmtId="0" fontId="6" fillId="3" borderId="97" xfId="2" applyFont="1" applyFill="1" applyBorder="1" applyAlignment="1">
      <alignment horizontal="center" vertical="center"/>
    </xf>
    <xf numFmtId="180" fontId="6" fillId="3" borderId="97" xfId="2" applyNumberFormat="1" applyFont="1" applyFill="1" applyBorder="1" applyAlignment="1">
      <alignment vertical="center"/>
    </xf>
    <xf numFmtId="0" fontId="6" fillId="2" borderId="97" xfId="2" applyFont="1" applyFill="1" applyBorder="1" applyAlignment="1">
      <alignment vertical="center"/>
    </xf>
    <xf numFmtId="179" fontId="6" fillId="3" borderId="97" xfId="2" applyNumberFormat="1" applyFont="1" applyFill="1" applyBorder="1" applyAlignment="1">
      <alignment vertical="center"/>
    </xf>
    <xf numFmtId="179" fontId="6" fillId="4" borderId="98" xfId="2" applyNumberFormat="1" applyFont="1" applyFill="1" applyBorder="1" applyAlignment="1">
      <alignment vertical="center"/>
    </xf>
    <xf numFmtId="0" fontId="6" fillId="3" borderId="85" xfId="2" applyFont="1" applyFill="1" applyBorder="1" applyAlignment="1">
      <alignment horizontal="left" vertical="center"/>
    </xf>
    <xf numFmtId="180" fontId="6" fillId="0" borderId="91" xfId="2" applyNumberFormat="1" applyFont="1" applyBorder="1" applyAlignment="1">
      <alignment vertical="center"/>
    </xf>
    <xf numFmtId="180" fontId="6" fillId="0" borderId="77" xfId="2" applyNumberFormat="1" applyFont="1" applyBorder="1" applyAlignment="1">
      <alignment vertical="center"/>
    </xf>
    <xf numFmtId="0" fontId="6" fillId="3" borderId="82" xfId="2" applyFont="1" applyFill="1" applyBorder="1" applyAlignment="1">
      <alignment horizontal="left" vertical="center"/>
    </xf>
    <xf numFmtId="180" fontId="6" fillId="0" borderId="83" xfId="2" applyNumberFormat="1" applyFont="1" applyBorder="1" applyAlignment="1">
      <alignment vertical="center"/>
    </xf>
    <xf numFmtId="179" fontId="6" fillId="4" borderId="84" xfId="2" applyNumberFormat="1" applyFont="1" applyFill="1" applyBorder="1" applyAlignment="1">
      <alignment vertical="center"/>
    </xf>
    <xf numFmtId="0" fontId="6" fillId="3" borderId="99" xfId="2" applyFont="1" applyFill="1" applyBorder="1" applyAlignment="1">
      <alignment horizontal="center" vertical="center"/>
    </xf>
    <xf numFmtId="180" fontId="6" fillId="3" borderId="99" xfId="2" applyNumberFormat="1" applyFont="1" applyFill="1" applyBorder="1" applyAlignment="1">
      <alignment vertical="center"/>
    </xf>
    <xf numFmtId="0" fontId="6" fillId="2" borderId="99" xfId="2" applyFont="1" applyFill="1" applyBorder="1" applyAlignment="1">
      <alignment vertical="center"/>
    </xf>
    <xf numFmtId="179" fontId="6" fillId="3" borderId="99" xfId="2" applyNumberFormat="1" applyFont="1" applyFill="1" applyBorder="1" applyAlignment="1">
      <alignment vertical="center"/>
    </xf>
    <xf numFmtId="179" fontId="6" fillId="4" borderId="100" xfId="2" applyNumberFormat="1" applyFont="1" applyFill="1" applyBorder="1" applyAlignment="1">
      <alignment vertical="center"/>
    </xf>
    <xf numFmtId="0" fontId="6" fillId="3" borderId="62" xfId="2" applyFont="1" applyFill="1" applyBorder="1" applyAlignment="1">
      <alignment horizontal="left" vertical="center"/>
    </xf>
    <xf numFmtId="179" fontId="6" fillId="4" borderId="99" xfId="2" applyNumberFormat="1" applyFont="1" applyFill="1" applyBorder="1" applyAlignment="1">
      <alignment vertical="center"/>
    </xf>
    <xf numFmtId="179" fontId="6" fillId="3" borderId="100" xfId="2" applyNumberFormat="1" applyFont="1" applyFill="1" applyBorder="1" applyAlignment="1">
      <alignment vertical="center"/>
    </xf>
    <xf numFmtId="179" fontId="6" fillId="3" borderId="98" xfId="2" applyNumberFormat="1" applyFont="1" applyFill="1" applyBorder="1" applyAlignment="1">
      <alignment vertical="center"/>
    </xf>
    <xf numFmtId="0" fontId="6" fillId="3" borderId="101" xfId="2" applyFont="1" applyFill="1" applyBorder="1" applyAlignment="1">
      <alignment horizontal="center" vertical="center" shrinkToFit="1"/>
    </xf>
    <xf numFmtId="0" fontId="6" fillId="3" borderId="102" xfId="2" applyFont="1" applyFill="1" applyBorder="1" applyAlignment="1">
      <alignment horizontal="center" vertical="center" shrinkToFit="1"/>
    </xf>
    <xf numFmtId="0" fontId="6" fillId="3" borderId="103" xfId="2" applyFont="1" applyFill="1" applyBorder="1" applyAlignment="1">
      <alignment horizontal="center" vertical="center" shrinkToFit="1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vertical="center"/>
    </xf>
    <xf numFmtId="179" fontId="6" fillId="4" borderId="10" xfId="2" applyNumberFormat="1" applyFont="1" applyFill="1" applyBorder="1" applyAlignment="1">
      <alignment vertical="center"/>
    </xf>
    <xf numFmtId="179" fontId="6" fillId="4" borderId="11" xfId="2" applyNumberFormat="1" applyFont="1" applyFill="1" applyBorder="1" applyAlignment="1">
      <alignment vertical="center"/>
    </xf>
    <xf numFmtId="0" fontId="6" fillId="3" borderId="9" xfId="2" applyFont="1" applyFill="1" applyBorder="1" applyAlignment="1">
      <alignment horizontal="center" vertical="center" shrinkToFit="1"/>
    </xf>
    <xf numFmtId="0" fontId="12" fillId="3" borderId="10" xfId="2" applyFont="1" applyFill="1" applyBorder="1" applyAlignment="1">
      <alignment horizontal="center" vertical="center" shrinkToFit="1"/>
    </xf>
    <xf numFmtId="0" fontId="12" fillId="3" borderId="11" xfId="2" applyFont="1" applyFill="1" applyBorder="1" applyAlignment="1">
      <alignment horizontal="center" vertical="center" shrinkToFit="1"/>
    </xf>
    <xf numFmtId="0" fontId="13" fillId="3" borderId="0" xfId="3" applyFill="1" applyAlignment="1">
      <alignment horizontal="right" vertical="center"/>
    </xf>
    <xf numFmtId="0" fontId="13" fillId="3" borderId="0" xfId="3" applyFill="1" applyAlignment="1">
      <alignment vertical="center"/>
    </xf>
    <xf numFmtId="0" fontId="13" fillId="0" borderId="0" xfId="3" applyAlignment="1">
      <alignment vertical="center"/>
    </xf>
    <xf numFmtId="0" fontId="14" fillId="0" borderId="0" xfId="3" applyFont="1" applyAlignment="1">
      <alignment vertical="center"/>
    </xf>
    <xf numFmtId="0" fontId="4" fillId="0" borderId="0" xfId="4">
      <alignment vertical="center"/>
    </xf>
    <xf numFmtId="0" fontId="13" fillId="0" borderId="0" xfId="3" applyAlignment="1">
      <alignment horizontal="right" vertical="center"/>
    </xf>
    <xf numFmtId="0" fontId="4" fillId="2" borderId="0" xfId="4" applyFill="1" applyAlignment="1">
      <alignment horizontal="centerContinuous" vertical="center"/>
    </xf>
    <xf numFmtId="0" fontId="13" fillId="2" borderId="0" xfId="3" applyFill="1" applyAlignment="1" applyProtection="1">
      <alignment horizontal="centerContinuous" vertical="center"/>
      <protection locked="0"/>
    </xf>
    <xf numFmtId="0" fontId="13" fillId="2" borderId="0" xfId="3" applyFill="1" applyAlignment="1">
      <alignment horizontal="centerContinuous" vertical="center"/>
    </xf>
    <xf numFmtId="0" fontId="13" fillId="0" borderId="0" xfId="3" applyAlignment="1">
      <alignment horizontal="center" vertical="center" shrinkToFit="1"/>
    </xf>
    <xf numFmtId="0" fontId="13" fillId="0" borderId="0" xfId="3" applyAlignment="1">
      <alignment vertical="center" shrinkToFit="1"/>
    </xf>
    <xf numFmtId="0" fontId="13" fillId="0" borderId="104" xfId="3" applyBorder="1" applyAlignment="1">
      <alignment vertical="center"/>
    </xf>
    <xf numFmtId="0" fontId="13" fillId="0" borderId="60" xfId="3" applyBorder="1" applyAlignment="1">
      <alignment horizontal="center" vertical="center"/>
    </xf>
    <xf numFmtId="0" fontId="13" fillId="0" borderId="106" xfId="3" applyBorder="1" applyAlignment="1">
      <alignment horizontal="center" vertical="center"/>
    </xf>
    <xf numFmtId="0" fontId="13" fillId="0" borderId="106" xfId="3" applyBorder="1" applyAlignment="1">
      <alignment horizontal="center" vertical="center" wrapText="1"/>
    </xf>
    <xf numFmtId="0" fontId="13" fillId="0" borderId="61" xfId="3" applyBorder="1" applyAlignment="1">
      <alignment horizontal="center" vertical="center" wrapText="1"/>
    </xf>
    <xf numFmtId="0" fontId="6" fillId="3" borderId="108" xfId="2" applyFont="1" applyFill="1" applyBorder="1" applyAlignment="1">
      <alignment horizontal="center" vertical="center" shrinkToFit="1"/>
    </xf>
    <xf numFmtId="0" fontId="4" fillId="0" borderId="0" xfId="4" applyAlignment="1">
      <alignment vertical="center" shrinkToFit="1"/>
    </xf>
    <xf numFmtId="0" fontId="13" fillId="0" borderId="109" xfId="3" applyBorder="1" applyAlignment="1">
      <alignment horizontal="center" vertical="center"/>
    </xf>
    <xf numFmtId="0" fontId="9" fillId="5" borderId="10" xfId="3" applyFont="1" applyFill="1" applyBorder="1" applyAlignment="1">
      <alignment horizontal="center" vertical="center" shrinkToFit="1"/>
    </xf>
    <xf numFmtId="0" fontId="9" fillId="5" borderId="10" xfId="3" applyFont="1" applyFill="1" applyBorder="1" applyAlignment="1">
      <alignment horizontal="right" vertical="center" shrinkToFit="1"/>
    </xf>
    <xf numFmtId="0" fontId="13" fillId="0" borderId="110" xfId="3" applyBorder="1" applyAlignment="1">
      <alignment horizontal="center" vertical="center" wrapText="1"/>
    </xf>
    <xf numFmtId="0" fontId="13" fillId="0" borderId="111" xfId="3" applyBorder="1" applyAlignment="1">
      <alignment horizontal="center" vertical="center" wrapText="1"/>
    </xf>
    <xf numFmtId="0" fontId="13" fillId="0" borderId="110" xfId="3" applyBorder="1" applyAlignment="1">
      <alignment horizontal="center" vertical="center"/>
    </xf>
    <xf numFmtId="0" fontId="13" fillId="0" borderId="112" xfId="3" applyBorder="1" applyAlignment="1">
      <alignment horizontal="center" vertical="center" wrapText="1"/>
    </xf>
    <xf numFmtId="0" fontId="13" fillId="0" borderId="113" xfId="3" applyBorder="1" applyAlignment="1">
      <alignment horizontal="center" vertical="center" wrapText="1"/>
    </xf>
    <xf numFmtId="0" fontId="4" fillId="0" borderId="68" xfId="4" applyBorder="1" applyAlignment="1">
      <alignment horizontal="center" vertical="center" shrinkToFit="1"/>
    </xf>
    <xf numFmtId="0" fontId="6" fillId="3" borderId="114" xfId="2" applyFont="1" applyFill="1" applyBorder="1" applyAlignment="1">
      <alignment horizontal="center" vertical="center" shrinkToFit="1"/>
    </xf>
    <xf numFmtId="0" fontId="13" fillId="0" borderId="115" xfId="3" applyBorder="1" applyAlignment="1">
      <alignment horizontal="center" vertical="center"/>
    </xf>
    <xf numFmtId="181" fontId="13" fillId="0" borderId="116" xfId="3" applyNumberFormat="1" applyBorder="1" applyAlignment="1">
      <alignment vertical="center"/>
    </xf>
    <xf numFmtId="181" fontId="13" fillId="5" borderId="116" xfId="3" applyNumberFormat="1" applyFill="1" applyBorder="1" applyAlignment="1">
      <alignment vertical="center"/>
    </xf>
    <xf numFmtId="0" fontId="13" fillId="5" borderId="116" xfId="3" applyFill="1" applyBorder="1" applyAlignment="1">
      <alignment vertical="center"/>
    </xf>
    <xf numFmtId="0" fontId="13" fillId="0" borderId="116" xfId="3" applyBorder="1" applyAlignment="1">
      <alignment vertical="center"/>
    </xf>
    <xf numFmtId="182" fontId="13" fillId="0" borderId="116" xfId="3" applyNumberFormat="1" applyBorder="1" applyAlignment="1">
      <alignment vertical="center"/>
    </xf>
    <xf numFmtId="181" fontId="13" fillId="5" borderId="116" xfId="3" applyNumberFormat="1" applyFill="1" applyBorder="1" applyAlignment="1" applyProtection="1">
      <alignment vertical="center"/>
      <protection locked="0"/>
    </xf>
    <xf numFmtId="183" fontId="13" fillId="3" borderId="116" xfId="3" applyNumberFormat="1" applyFill="1" applyBorder="1" applyAlignment="1">
      <alignment vertical="center"/>
    </xf>
    <xf numFmtId="179" fontId="13" fillId="4" borderId="117" xfId="3" applyNumberFormat="1" applyFill="1" applyBorder="1" applyAlignment="1">
      <alignment vertical="center"/>
    </xf>
    <xf numFmtId="179" fontId="13" fillId="4" borderId="118" xfId="3" applyNumberFormat="1" applyFill="1" applyBorder="1" applyAlignment="1">
      <alignment vertical="center"/>
    </xf>
    <xf numFmtId="0" fontId="4" fillId="0" borderId="73" xfId="4" applyBorder="1" applyAlignment="1">
      <alignment horizontal="center" vertical="center" shrinkToFit="1"/>
    </xf>
    <xf numFmtId="0" fontId="4" fillId="0" borderId="119" xfId="4" applyBorder="1" applyAlignment="1">
      <alignment horizontal="center" vertical="center" shrinkToFit="1"/>
    </xf>
    <xf numFmtId="0" fontId="13" fillId="0" borderId="120" xfId="3" applyBorder="1" applyAlignment="1">
      <alignment horizontal="right" vertical="center"/>
    </xf>
    <xf numFmtId="0" fontId="13" fillId="0" borderId="121" xfId="3" applyBorder="1" applyAlignment="1">
      <alignment horizontal="center" vertical="center"/>
    </xf>
    <xf numFmtId="181" fontId="13" fillId="0" borderId="27" xfId="3" applyNumberFormat="1" applyBorder="1" applyAlignment="1">
      <alignment vertical="center"/>
    </xf>
    <xf numFmtId="181" fontId="13" fillId="5" borderId="27" xfId="3" applyNumberFormat="1" applyFill="1" applyBorder="1" applyAlignment="1">
      <alignment vertical="center"/>
    </xf>
    <xf numFmtId="0" fontId="13" fillId="5" borderId="27" xfId="3" applyFill="1" applyBorder="1" applyAlignment="1">
      <alignment vertical="center"/>
    </xf>
    <xf numFmtId="0" fontId="13" fillId="0" borderId="27" xfId="3" applyBorder="1" applyAlignment="1">
      <alignment vertical="center"/>
    </xf>
    <xf numFmtId="182" fontId="13" fillId="0" borderId="27" xfId="3" applyNumberFormat="1" applyBorder="1" applyAlignment="1">
      <alignment vertical="center"/>
    </xf>
    <xf numFmtId="181" fontId="13" fillId="5" borderId="27" xfId="3" applyNumberFormat="1" applyFill="1" applyBorder="1" applyAlignment="1" applyProtection="1">
      <alignment vertical="center"/>
      <protection locked="0"/>
    </xf>
    <xf numFmtId="183" fontId="13" fillId="3" borderId="27" xfId="3" applyNumberFormat="1" applyFill="1" applyBorder="1" applyAlignment="1">
      <alignment vertical="center"/>
    </xf>
    <xf numFmtId="179" fontId="13" fillId="4" borderId="40" xfId="3" applyNumberFormat="1" applyFill="1" applyBorder="1" applyAlignment="1">
      <alignment vertical="center"/>
    </xf>
    <xf numFmtId="179" fontId="13" fillId="4" borderId="87" xfId="3" applyNumberFormat="1" applyFill="1" applyBorder="1" applyAlignment="1">
      <alignment vertical="center"/>
    </xf>
    <xf numFmtId="0" fontId="4" fillId="0" borderId="79" xfId="4" applyBorder="1" applyAlignment="1">
      <alignment horizontal="center" vertical="center" shrinkToFit="1"/>
    </xf>
    <xf numFmtId="0" fontId="4" fillId="0" borderId="122" xfId="4" applyBorder="1" applyAlignment="1">
      <alignment horizontal="center" vertical="center" shrinkToFit="1"/>
    </xf>
    <xf numFmtId="0" fontId="4" fillId="0" borderId="123" xfId="4" applyBorder="1" applyAlignment="1">
      <alignment horizontal="center" vertical="center" shrinkToFit="1"/>
    </xf>
    <xf numFmtId="0" fontId="4" fillId="0" borderId="124" xfId="4" applyBorder="1" applyAlignment="1">
      <alignment horizontal="center" vertical="center" shrinkToFit="1"/>
    </xf>
    <xf numFmtId="0" fontId="4" fillId="0" borderId="81" xfId="4" applyBorder="1" applyAlignment="1">
      <alignment horizontal="center" vertical="center" shrinkToFit="1"/>
    </xf>
    <xf numFmtId="0" fontId="13" fillId="0" borderId="125" xfId="3" applyBorder="1" applyAlignment="1">
      <alignment horizontal="center" vertical="center"/>
    </xf>
    <xf numFmtId="0" fontId="13" fillId="0" borderId="126" xfId="3" applyBorder="1" applyAlignment="1">
      <alignment vertical="center"/>
    </xf>
    <xf numFmtId="0" fontId="13" fillId="5" borderId="126" xfId="3" applyFill="1" applyBorder="1" applyAlignment="1">
      <alignment vertical="center"/>
    </xf>
    <xf numFmtId="182" fontId="13" fillId="0" borderId="126" xfId="3" applyNumberFormat="1" applyBorder="1" applyAlignment="1">
      <alignment vertical="center"/>
    </xf>
    <xf numFmtId="181" fontId="13" fillId="5" borderId="126" xfId="3" applyNumberFormat="1" applyFill="1" applyBorder="1" applyAlignment="1" applyProtection="1">
      <alignment vertical="center"/>
      <protection locked="0"/>
    </xf>
    <xf numFmtId="183" fontId="13" fillId="3" borderId="126" xfId="3" applyNumberFormat="1" applyFill="1" applyBorder="1" applyAlignment="1">
      <alignment vertical="center"/>
    </xf>
    <xf numFmtId="179" fontId="13" fillId="4" borderId="35" xfId="3" applyNumberFormat="1" applyFill="1" applyBorder="1" applyAlignment="1">
      <alignment vertical="center"/>
    </xf>
    <xf numFmtId="179" fontId="13" fillId="4" borderId="127" xfId="3" applyNumberFormat="1" applyFill="1" applyBorder="1" applyAlignment="1">
      <alignment vertical="center"/>
    </xf>
    <xf numFmtId="0" fontId="13" fillId="0" borderId="128" xfId="3" applyBorder="1" applyAlignment="1">
      <alignment horizontal="center" vertical="center"/>
    </xf>
    <xf numFmtId="0" fontId="13" fillId="0" borderId="6" xfId="3" applyBorder="1" applyAlignment="1">
      <alignment vertical="center"/>
    </xf>
    <xf numFmtId="182" fontId="13" fillId="0" borderId="6" xfId="3" applyNumberFormat="1" applyBorder="1" applyAlignment="1">
      <alignment vertical="center"/>
    </xf>
    <xf numFmtId="0" fontId="13" fillId="0" borderId="6" xfId="3" applyBorder="1" applyAlignment="1" applyProtection="1">
      <alignment vertical="center"/>
      <protection locked="0"/>
    </xf>
    <xf numFmtId="183" fontId="13" fillId="3" borderId="6" xfId="3" applyNumberFormat="1" applyFill="1" applyBorder="1" applyAlignment="1">
      <alignment vertical="center"/>
    </xf>
    <xf numFmtId="179" fontId="13" fillId="0" borderId="30" xfId="3" applyNumberFormat="1" applyBorder="1" applyAlignment="1">
      <alignment vertical="center"/>
    </xf>
    <xf numFmtId="179" fontId="13" fillId="0" borderId="7" xfId="3" applyNumberFormat="1" applyBorder="1" applyAlignment="1">
      <alignment vertical="center"/>
    </xf>
    <xf numFmtId="0" fontId="13" fillId="0" borderId="85" xfId="3" applyBorder="1" applyAlignment="1">
      <alignment horizontal="center" vertical="center"/>
    </xf>
    <xf numFmtId="181" fontId="13" fillId="0" borderId="23" xfId="3" applyNumberFormat="1" applyBorder="1" applyAlignment="1">
      <alignment vertical="center"/>
    </xf>
    <xf numFmtId="181" fontId="13" fillId="5" borderId="23" xfId="3" applyNumberFormat="1" applyFill="1" applyBorder="1" applyAlignment="1">
      <alignment vertical="center"/>
    </xf>
    <xf numFmtId="0" fontId="13" fillId="5" borderId="23" xfId="3" applyFill="1" applyBorder="1" applyAlignment="1">
      <alignment vertical="center"/>
    </xf>
    <xf numFmtId="0" fontId="13" fillId="0" borderId="23" xfId="3" applyBorder="1" applyAlignment="1">
      <alignment vertical="center"/>
    </xf>
    <xf numFmtId="182" fontId="13" fillId="0" borderId="23" xfId="3" applyNumberFormat="1" applyBorder="1" applyAlignment="1">
      <alignment vertical="center"/>
    </xf>
    <xf numFmtId="181" fontId="13" fillId="5" borderId="23" xfId="3" applyNumberFormat="1" applyFill="1" applyBorder="1" applyAlignment="1" applyProtection="1">
      <alignment vertical="center"/>
      <protection locked="0"/>
    </xf>
    <xf numFmtId="183" fontId="13" fillId="3" borderId="23" xfId="3" applyNumberFormat="1" applyFill="1" applyBorder="1" applyAlignment="1">
      <alignment vertical="center"/>
    </xf>
    <xf numFmtId="179" fontId="13" fillId="4" borderId="33" xfId="3" applyNumberFormat="1" applyFill="1" applyBorder="1" applyAlignment="1">
      <alignment vertical="center"/>
    </xf>
    <xf numFmtId="0" fontId="13" fillId="0" borderId="76" xfId="3" applyBorder="1" applyAlignment="1">
      <alignment horizontal="center" vertical="center"/>
    </xf>
    <xf numFmtId="0" fontId="13" fillId="0" borderId="82" xfId="3" applyBorder="1" applyAlignment="1">
      <alignment horizontal="center" vertical="center"/>
    </xf>
    <xf numFmtId="181" fontId="13" fillId="0" borderId="126" xfId="3" applyNumberFormat="1" applyBorder="1" applyAlignment="1">
      <alignment vertical="center"/>
    </xf>
    <xf numFmtId="181" fontId="13" fillId="5" borderId="126" xfId="3" applyNumberFormat="1" applyFill="1" applyBorder="1" applyAlignment="1">
      <alignment vertical="center"/>
    </xf>
    <xf numFmtId="184" fontId="13" fillId="0" borderId="23" xfId="3" applyNumberFormat="1" applyBorder="1" applyAlignment="1">
      <alignment vertical="center"/>
    </xf>
    <xf numFmtId="184" fontId="13" fillId="5" borderId="23" xfId="3" applyNumberFormat="1" applyFill="1" applyBorder="1" applyAlignment="1">
      <alignment vertical="center"/>
    </xf>
    <xf numFmtId="183" fontId="13" fillId="3" borderId="13" xfId="3" applyNumberFormat="1" applyFill="1" applyBorder="1" applyAlignment="1">
      <alignment vertical="center"/>
    </xf>
    <xf numFmtId="179" fontId="13" fillId="4" borderId="32" xfId="3" applyNumberFormat="1" applyFill="1" applyBorder="1" applyAlignment="1">
      <alignment vertical="center"/>
    </xf>
    <xf numFmtId="0" fontId="13" fillId="0" borderId="93" xfId="3" applyBorder="1" applyAlignment="1">
      <alignment horizontal="center" vertical="center"/>
    </xf>
    <xf numFmtId="184" fontId="13" fillId="5" borderId="36" xfId="3" applyNumberFormat="1" applyFill="1" applyBorder="1" applyAlignment="1">
      <alignment vertical="center"/>
    </xf>
    <xf numFmtId="0" fontId="13" fillId="5" borderId="36" xfId="3" applyFill="1" applyBorder="1" applyAlignment="1">
      <alignment vertical="center"/>
    </xf>
    <xf numFmtId="0" fontId="13" fillId="0" borderId="36" xfId="3" applyBorder="1" applyAlignment="1">
      <alignment vertical="center"/>
    </xf>
    <xf numFmtId="182" fontId="13" fillId="0" borderId="36" xfId="3" applyNumberFormat="1" applyBorder="1" applyAlignment="1">
      <alignment vertical="center"/>
    </xf>
    <xf numFmtId="179" fontId="13" fillId="4" borderId="27" xfId="3" applyNumberFormat="1" applyFill="1" applyBorder="1" applyAlignment="1">
      <alignment vertical="center"/>
    </xf>
    <xf numFmtId="184" fontId="13" fillId="0" borderId="27" xfId="3" applyNumberFormat="1" applyBorder="1" applyAlignment="1">
      <alignment vertical="center"/>
    </xf>
    <xf numFmtId="184" fontId="13" fillId="5" borderId="27" xfId="3" applyNumberFormat="1" applyFill="1" applyBorder="1" applyAlignment="1">
      <alignment vertical="center"/>
    </xf>
    <xf numFmtId="183" fontId="13" fillId="3" borderId="36" xfId="3" applyNumberFormat="1" applyFill="1" applyBorder="1" applyAlignment="1">
      <alignment vertical="center"/>
    </xf>
    <xf numFmtId="179" fontId="13" fillId="4" borderId="36" xfId="3" applyNumberFormat="1" applyFill="1" applyBorder="1" applyAlignment="1">
      <alignment vertical="center"/>
    </xf>
    <xf numFmtId="179" fontId="13" fillId="4" borderId="129" xfId="3" applyNumberFormat="1" applyFill="1" applyBorder="1" applyAlignment="1">
      <alignment vertical="center"/>
    </xf>
    <xf numFmtId="184" fontId="13" fillId="0" borderId="126" xfId="3" applyNumberFormat="1" applyBorder="1" applyAlignment="1">
      <alignment vertical="center"/>
    </xf>
    <xf numFmtId="184" fontId="13" fillId="5" borderId="126" xfId="3" applyNumberFormat="1" applyFill="1" applyBorder="1" applyAlignment="1">
      <alignment vertical="center"/>
    </xf>
    <xf numFmtId="184" fontId="13" fillId="0" borderId="6" xfId="3" applyNumberFormat="1" applyBorder="1" applyAlignment="1">
      <alignment vertical="center"/>
    </xf>
    <xf numFmtId="1" fontId="13" fillId="0" borderId="27" xfId="3" applyNumberFormat="1" applyBorder="1" applyAlignment="1">
      <alignment vertical="center"/>
    </xf>
    <xf numFmtId="1" fontId="13" fillId="5" borderId="27" xfId="3" applyNumberFormat="1" applyFill="1" applyBorder="1" applyAlignment="1">
      <alignment vertical="center"/>
    </xf>
    <xf numFmtId="1" fontId="13" fillId="0" borderId="126" xfId="3" applyNumberFormat="1" applyBorder="1" applyAlignment="1">
      <alignment vertical="center"/>
    </xf>
    <xf numFmtId="1" fontId="13" fillId="5" borderId="126" xfId="3" applyNumberFormat="1" applyFill="1" applyBorder="1" applyAlignment="1">
      <alignment vertical="center"/>
    </xf>
    <xf numFmtId="1" fontId="13" fillId="0" borderId="6" xfId="3" applyNumberFormat="1" applyBorder="1" applyAlignment="1">
      <alignment vertical="center"/>
    </xf>
    <xf numFmtId="181" fontId="13" fillId="0" borderId="6" xfId="3" applyNumberFormat="1" applyBorder="1" applyAlignment="1">
      <alignment vertical="center"/>
    </xf>
    <xf numFmtId="181" fontId="13" fillId="5" borderId="6" xfId="3" applyNumberFormat="1" applyFill="1" applyBorder="1" applyAlignment="1">
      <alignment vertical="center"/>
    </xf>
    <xf numFmtId="0" fontId="13" fillId="5" borderId="6" xfId="3" applyFill="1" applyBorder="1" applyAlignment="1">
      <alignment vertical="center"/>
    </xf>
    <xf numFmtId="181" fontId="13" fillId="5" borderId="6" xfId="3" applyNumberFormat="1" applyFill="1" applyBorder="1" applyAlignment="1" applyProtection="1">
      <alignment vertical="center"/>
      <protection locked="0"/>
    </xf>
    <xf numFmtId="179" fontId="13" fillId="4" borderId="30" xfId="3" applyNumberFormat="1" applyFill="1" applyBorder="1" applyAlignment="1">
      <alignment vertical="center"/>
    </xf>
    <xf numFmtId="1" fontId="13" fillId="0" borderId="23" xfId="3" applyNumberFormat="1" applyBorder="1" applyAlignment="1">
      <alignment vertical="center"/>
    </xf>
    <xf numFmtId="1" fontId="13" fillId="5" borderId="23" xfId="3" applyNumberFormat="1" applyFill="1" applyBorder="1" applyAlignment="1">
      <alignment vertical="center"/>
    </xf>
    <xf numFmtId="0" fontId="15" fillId="0" borderId="76" xfId="3" applyFont="1" applyBorder="1" applyAlignment="1">
      <alignment horizontal="center" vertical="center"/>
    </xf>
    <xf numFmtId="181" fontId="13" fillId="0" borderId="6" xfId="3" applyNumberFormat="1" applyBorder="1" applyAlignment="1" applyProtection="1">
      <alignment vertical="center"/>
      <protection locked="0"/>
    </xf>
    <xf numFmtId="0" fontId="13" fillId="0" borderId="120" xfId="3" applyBorder="1" applyAlignment="1">
      <alignment vertical="center"/>
    </xf>
    <xf numFmtId="0" fontId="13" fillId="5" borderId="5" xfId="3" applyFill="1" applyBorder="1" applyAlignment="1">
      <alignment horizontal="center" vertical="center"/>
    </xf>
    <xf numFmtId="182" fontId="13" fillId="5" borderId="6" xfId="3" applyNumberFormat="1" applyFill="1" applyBorder="1" applyAlignment="1">
      <alignment vertical="center"/>
    </xf>
    <xf numFmtId="179" fontId="13" fillId="4" borderId="90" xfId="3" applyNumberFormat="1" applyFill="1" applyBorder="1" applyAlignment="1">
      <alignment vertical="center"/>
    </xf>
    <xf numFmtId="179" fontId="13" fillId="4" borderId="7" xfId="3" applyNumberFormat="1" applyFill="1" applyBorder="1" applyAlignment="1">
      <alignment vertical="center"/>
    </xf>
    <xf numFmtId="0" fontId="13" fillId="0" borderId="130" xfId="3" applyBorder="1" applyAlignment="1">
      <alignment vertical="center"/>
    </xf>
    <xf numFmtId="179" fontId="13" fillId="4" borderId="131" xfId="3" applyNumberFormat="1" applyFill="1" applyBorder="1" applyAlignment="1">
      <alignment vertical="center"/>
    </xf>
    <xf numFmtId="0" fontId="4" fillId="0" borderId="101" xfId="4" applyBorder="1" applyAlignment="1">
      <alignment horizontal="center" vertical="center" shrinkToFit="1"/>
    </xf>
    <xf numFmtId="0" fontId="4" fillId="0" borderId="132" xfId="4" applyBorder="1" applyAlignment="1">
      <alignment horizontal="center" vertical="center" shrinkToFit="1"/>
    </xf>
    <xf numFmtId="0" fontId="13" fillId="0" borderId="133" xfId="3" applyBorder="1" applyAlignment="1">
      <alignment horizontal="center" vertical="center"/>
    </xf>
    <xf numFmtId="0" fontId="13" fillId="0" borderId="9" xfId="3" applyBorder="1" applyAlignment="1">
      <alignment horizontal="center" vertical="center"/>
    </xf>
    <xf numFmtId="0" fontId="13" fillId="0" borderId="10" xfId="3" applyBorder="1" applyAlignment="1">
      <alignment vertical="center"/>
    </xf>
    <xf numFmtId="0" fontId="15" fillId="3" borderId="10" xfId="3" applyFont="1" applyFill="1" applyBorder="1" applyAlignment="1">
      <alignment vertical="center"/>
    </xf>
    <xf numFmtId="183" fontId="13" fillId="3" borderId="10" xfId="3" applyNumberFormat="1" applyFill="1" applyBorder="1" applyAlignment="1">
      <alignment vertical="center"/>
    </xf>
    <xf numFmtId="179" fontId="13" fillId="4" borderId="134" xfId="3" applyNumberFormat="1" applyFill="1" applyBorder="1" applyAlignment="1">
      <alignment vertical="center"/>
    </xf>
    <xf numFmtId="179" fontId="13" fillId="4" borderId="11" xfId="3" applyNumberFormat="1" applyFill="1" applyBorder="1" applyAlignment="1">
      <alignment vertical="center"/>
    </xf>
    <xf numFmtId="0" fontId="0" fillId="0" borderId="65" xfId="4" applyFont="1" applyBorder="1" applyAlignment="1">
      <alignment horizontal="center" vertical="center" shrinkToFit="1"/>
    </xf>
    <xf numFmtId="0" fontId="16" fillId="0" borderId="135" xfId="4" applyFont="1" applyBorder="1" applyAlignment="1">
      <alignment horizontal="center" vertical="center" shrinkToFit="1"/>
    </xf>
    <xf numFmtId="0" fontId="4" fillId="0" borderId="0" xfId="4" applyAlignment="1">
      <alignment horizontal="center" vertical="center" shrinkToFit="1"/>
    </xf>
    <xf numFmtId="0" fontId="13" fillId="3" borderId="60" xfId="3" applyFill="1" applyBorder="1" applyAlignment="1">
      <alignment horizontal="center" vertical="center"/>
    </xf>
    <xf numFmtId="0" fontId="13" fillId="5" borderId="10" xfId="3" applyFill="1" applyBorder="1" applyAlignment="1">
      <alignment horizontal="right" vertical="center" shrinkToFit="1"/>
    </xf>
    <xf numFmtId="0" fontId="13" fillId="3" borderId="31" xfId="3" applyFill="1" applyBorder="1" applyAlignment="1">
      <alignment horizontal="center" vertical="center"/>
    </xf>
    <xf numFmtId="0" fontId="13" fillId="0" borderId="136" xfId="3" applyBorder="1" applyAlignment="1">
      <alignment vertical="center"/>
    </xf>
    <xf numFmtId="0" fontId="13" fillId="0" borderId="1" xfId="3" applyBorder="1" applyAlignment="1">
      <alignment vertical="center"/>
    </xf>
    <xf numFmtId="0" fontId="13" fillId="0" borderId="2" xfId="3" applyBorder="1" applyAlignment="1">
      <alignment horizontal="right" vertical="center"/>
    </xf>
    <xf numFmtId="0" fontId="13" fillId="5" borderId="2" xfId="3" applyFill="1" applyBorder="1" applyAlignment="1">
      <alignment horizontal="right" vertical="center"/>
    </xf>
    <xf numFmtId="0" fontId="13" fillId="5" borderId="2" xfId="3" applyFill="1" applyBorder="1" applyAlignment="1">
      <alignment horizontal="center" vertical="center"/>
    </xf>
    <xf numFmtId="0" fontId="13" fillId="0" borderId="2" xfId="3" applyBorder="1" applyAlignment="1">
      <alignment vertical="center"/>
    </xf>
    <xf numFmtId="185" fontId="13" fillId="0" borderId="2" xfId="3" applyNumberFormat="1" applyBorder="1" applyAlignment="1">
      <alignment vertical="center"/>
    </xf>
    <xf numFmtId="184" fontId="13" fillId="5" borderId="2" xfId="3" applyNumberFormat="1" applyFill="1" applyBorder="1" applyAlignment="1">
      <alignment horizontal="right" vertical="center"/>
    </xf>
    <xf numFmtId="186" fontId="13" fillId="3" borderId="2" xfId="3" applyNumberFormat="1" applyFill="1" applyBorder="1" applyAlignment="1">
      <alignment vertical="center"/>
    </xf>
    <xf numFmtId="187" fontId="13" fillId="4" borderId="137" xfId="3" applyNumberFormat="1" applyFill="1" applyBorder="1" applyAlignment="1">
      <alignment vertical="center"/>
    </xf>
    <xf numFmtId="187" fontId="13" fillId="4" borderId="3" xfId="3" applyNumberFormat="1" applyFill="1" applyBorder="1" applyAlignment="1">
      <alignment vertical="center"/>
    </xf>
    <xf numFmtId="0" fontId="13" fillId="0" borderId="31" xfId="3" applyBorder="1" applyAlignment="1">
      <alignment horizontal="center" vertical="center"/>
    </xf>
    <xf numFmtId="0" fontId="13" fillId="0" borderId="34" xfId="3" applyBorder="1" applyAlignment="1">
      <alignment horizontal="center" vertical="center"/>
    </xf>
    <xf numFmtId="185" fontId="13" fillId="0" borderId="34" xfId="3" applyNumberFormat="1" applyBorder="1" applyAlignment="1">
      <alignment horizontal="center" vertical="center"/>
    </xf>
    <xf numFmtId="184" fontId="13" fillId="0" borderId="31" xfId="3" applyNumberFormat="1" applyBorder="1" applyAlignment="1">
      <alignment horizontal="right" vertical="center"/>
    </xf>
    <xf numFmtId="186" fontId="13" fillId="3" borderId="31" xfId="3" applyNumberFormat="1" applyFill="1" applyBorder="1" applyAlignment="1">
      <alignment vertical="center"/>
    </xf>
    <xf numFmtId="187" fontId="13" fillId="3" borderId="34" xfId="3" applyNumberFormat="1" applyFill="1" applyBorder="1" applyAlignment="1">
      <alignment vertical="center"/>
    </xf>
    <xf numFmtId="187" fontId="13" fillId="3" borderId="64" xfId="3" applyNumberFormat="1" applyFill="1" applyBorder="1" applyAlignment="1">
      <alignment vertical="center"/>
    </xf>
    <xf numFmtId="0" fontId="13" fillId="0" borderId="85" xfId="3" applyBorder="1" applyAlignment="1">
      <alignment vertical="center"/>
    </xf>
    <xf numFmtId="181" fontId="13" fillId="0" borderId="23" xfId="3" applyNumberFormat="1" applyBorder="1" applyAlignment="1">
      <alignment horizontal="right" vertical="center"/>
    </xf>
    <xf numFmtId="181" fontId="13" fillId="5" borderId="23" xfId="3" applyNumberFormat="1" applyFill="1" applyBorder="1" applyAlignment="1">
      <alignment horizontal="right" vertical="center"/>
    </xf>
    <xf numFmtId="185" fontId="13" fillId="0" borderId="23" xfId="3" applyNumberFormat="1" applyBorder="1" applyAlignment="1">
      <alignment vertical="center"/>
    </xf>
    <xf numFmtId="184" fontId="13" fillId="5" borderId="23" xfId="3" applyNumberFormat="1" applyFill="1" applyBorder="1" applyAlignment="1" applyProtection="1">
      <alignment horizontal="right" vertical="center"/>
      <protection locked="0"/>
    </xf>
    <xf numFmtId="186" fontId="13" fillId="3" borderId="23" xfId="3" applyNumberFormat="1" applyFill="1" applyBorder="1" applyAlignment="1">
      <alignment vertical="center"/>
    </xf>
    <xf numFmtId="187" fontId="13" fillId="4" borderId="33" xfId="3" applyNumberFormat="1" applyFill="1" applyBorder="1" applyAlignment="1">
      <alignment vertical="center"/>
    </xf>
    <xf numFmtId="187" fontId="13" fillId="4" borderId="86" xfId="3" applyNumberFormat="1" applyFill="1" applyBorder="1" applyAlignment="1">
      <alignment vertical="center"/>
    </xf>
    <xf numFmtId="182" fontId="4" fillId="0" borderId="0" xfId="4" applyNumberFormat="1">
      <alignment vertical="center"/>
    </xf>
    <xf numFmtId="0" fontId="13" fillId="0" borderId="76" xfId="3" applyBorder="1" applyAlignment="1">
      <alignment horizontal="right" vertical="center"/>
    </xf>
    <xf numFmtId="181" fontId="13" fillId="0" borderId="27" xfId="3" applyNumberFormat="1" applyBorder="1" applyAlignment="1">
      <alignment horizontal="right" vertical="center"/>
    </xf>
    <xf numFmtId="181" fontId="13" fillId="5" borderId="27" xfId="3" applyNumberFormat="1" applyFill="1" applyBorder="1" applyAlignment="1">
      <alignment horizontal="right" vertical="center"/>
    </xf>
    <xf numFmtId="185" fontId="13" fillId="0" borderId="27" xfId="3" applyNumberFormat="1" applyBorder="1" applyAlignment="1">
      <alignment vertical="center"/>
    </xf>
    <xf numFmtId="184" fontId="13" fillId="5" borderId="27" xfId="3" applyNumberFormat="1" applyFill="1" applyBorder="1" applyAlignment="1" applyProtection="1">
      <alignment horizontal="right" vertical="center"/>
      <protection locked="0"/>
    </xf>
    <xf numFmtId="186" fontId="13" fillId="3" borderId="27" xfId="3" applyNumberFormat="1" applyFill="1" applyBorder="1" applyAlignment="1">
      <alignment vertical="center"/>
    </xf>
    <xf numFmtId="187" fontId="13" fillId="4" borderId="40" xfId="3" applyNumberFormat="1" applyFill="1" applyBorder="1" applyAlignment="1">
      <alignment vertical="center"/>
    </xf>
    <xf numFmtId="187" fontId="13" fillId="4" borderId="87" xfId="3" applyNumberFormat="1" applyFill="1" applyBorder="1" applyAlignment="1">
      <alignment vertical="center"/>
    </xf>
    <xf numFmtId="0" fontId="13" fillId="0" borderId="82" xfId="3" applyBorder="1" applyAlignment="1">
      <alignment horizontal="right" vertical="center"/>
    </xf>
    <xf numFmtId="181" fontId="13" fillId="0" borderId="126" xfId="3" applyNumberFormat="1" applyBorder="1" applyAlignment="1">
      <alignment horizontal="right" vertical="center"/>
    </xf>
    <xf numFmtId="181" fontId="13" fillId="5" borderId="126" xfId="3" applyNumberFormat="1" applyFill="1" applyBorder="1" applyAlignment="1">
      <alignment horizontal="right" vertical="center"/>
    </xf>
    <xf numFmtId="185" fontId="13" fillId="0" borderId="126" xfId="3" applyNumberFormat="1" applyBorder="1" applyAlignment="1">
      <alignment vertical="center"/>
    </xf>
    <xf numFmtId="184" fontId="13" fillId="5" borderId="126" xfId="3" applyNumberFormat="1" applyFill="1" applyBorder="1" applyAlignment="1" applyProtection="1">
      <alignment horizontal="right" vertical="center"/>
      <protection locked="0"/>
    </xf>
    <xf numFmtId="186" fontId="13" fillId="3" borderId="89" xfId="3" applyNumberFormat="1" applyFill="1" applyBorder="1" applyAlignment="1">
      <alignment vertical="center"/>
    </xf>
    <xf numFmtId="187" fontId="13" fillId="4" borderId="138" xfId="3" applyNumberFormat="1" applyFill="1" applyBorder="1" applyAlignment="1">
      <alignment vertical="center"/>
    </xf>
    <xf numFmtId="0" fontId="13" fillId="0" borderId="109" xfId="3" applyBorder="1" applyAlignment="1">
      <alignment vertical="center"/>
    </xf>
    <xf numFmtId="0" fontId="13" fillId="0" borderId="31" xfId="3" applyBorder="1" applyAlignment="1">
      <alignment vertical="center"/>
    </xf>
    <xf numFmtId="185" fontId="13" fillId="0" borderId="31" xfId="3" applyNumberFormat="1" applyBorder="1" applyAlignment="1">
      <alignment vertical="center"/>
    </xf>
    <xf numFmtId="184" fontId="13" fillId="0" borderId="31" xfId="3" applyNumberFormat="1" applyBorder="1" applyAlignment="1" applyProtection="1">
      <alignment horizontal="right" vertical="center"/>
      <protection locked="0"/>
    </xf>
    <xf numFmtId="186" fontId="13" fillId="3" borderId="6" xfId="3" applyNumberFormat="1" applyFill="1" applyBorder="1" applyAlignment="1">
      <alignment vertical="center"/>
    </xf>
    <xf numFmtId="187" fontId="13" fillId="3" borderId="30" xfId="3" applyNumberFormat="1" applyFill="1" applyBorder="1" applyAlignment="1">
      <alignment vertical="center"/>
    </xf>
    <xf numFmtId="187" fontId="13" fillId="0" borderId="87" xfId="3" applyNumberFormat="1" applyBorder="1" applyAlignment="1">
      <alignment vertical="center"/>
    </xf>
    <xf numFmtId="0" fontId="17" fillId="0" borderId="73" xfId="3" applyFont="1" applyBorder="1" applyAlignment="1">
      <alignment vertical="center"/>
    </xf>
    <xf numFmtId="181" fontId="13" fillId="0" borderId="74" xfId="3" applyNumberFormat="1" applyBorder="1" applyAlignment="1">
      <alignment horizontal="right" vertical="center"/>
    </xf>
    <xf numFmtId="181" fontId="13" fillId="5" borderId="74" xfId="3" applyNumberFormat="1" applyFill="1" applyBorder="1" applyAlignment="1">
      <alignment horizontal="right" vertical="center"/>
    </xf>
    <xf numFmtId="0" fontId="13" fillId="5" borderId="74" xfId="3" applyFill="1" applyBorder="1" applyAlignment="1">
      <alignment vertical="center"/>
    </xf>
    <xf numFmtId="0" fontId="13" fillId="0" borderId="74" xfId="3" applyBorder="1" applyAlignment="1">
      <alignment vertical="center"/>
    </xf>
    <xf numFmtId="185" fontId="13" fillId="0" borderId="74" xfId="3" applyNumberFormat="1" applyBorder="1" applyAlignment="1">
      <alignment vertical="center"/>
    </xf>
    <xf numFmtId="184" fontId="13" fillId="5" borderId="74" xfId="3" applyNumberFormat="1" applyFill="1" applyBorder="1" applyAlignment="1" applyProtection="1">
      <alignment horizontal="right" vertical="center"/>
      <protection locked="0"/>
    </xf>
    <xf numFmtId="186" fontId="13" fillId="3" borderId="139" xfId="3" applyNumberFormat="1" applyFill="1" applyBorder="1" applyAlignment="1">
      <alignment vertical="center"/>
    </xf>
    <xf numFmtId="187" fontId="13" fillId="4" borderId="140" xfId="3" applyNumberFormat="1" applyFill="1" applyBorder="1" applyAlignment="1">
      <alignment vertical="center"/>
    </xf>
    <xf numFmtId="181" fontId="13" fillId="0" borderId="80" xfId="3" applyNumberFormat="1" applyBorder="1" applyAlignment="1">
      <alignment horizontal="right" vertical="center"/>
    </xf>
    <xf numFmtId="181" fontId="13" fillId="5" borderId="80" xfId="3" applyNumberFormat="1" applyFill="1" applyBorder="1" applyAlignment="1">
      <alignment horizontal="right" vertical="center"/>
    </xf>
    <xf numFmtId="0" fontId="13" fillId="5" borderId="80" xfId="3" applyFill="1" applyBorder="1" applyAlignment="1">
      <alignment vertical="center"/>
    </xf>
    <xf numFmtId="0" fontId="13" fillId="0" borderId="80" xfId="3" applyBorder="1" applyAlignment="1">
      <alignment vertical="center"/>
    </xf>
    <xf numFmtId="185" fontId="13" fillId="0" borderId="80" xfId="3" applyNumberFormat="1" applyBorder="1" applyAlignment="1">
      <alignment vertical="center"/>
    </xf>
    <xf numFmtId="184" fontId="13" fillId="5" borderId="80" xfId="3" applyNumberFormat="1" applyFill="1" applyBorder="1" applyAlignment="1" applyProtection="1">
      <alignment horizontal="right" vertical="center"/>
      <protection locked="0"/>
    </xf>
    <xf numFmtId="186" fontId="13" fillId="3" borderId="80" xfId="3" applyNumberFormat="1" applyFill="1" applyBorder="1" applyAlignment="1">
      <alignment vertical="center"/>
    </xf>
    <xf numFmtId="187" fontId="13" fillId="4" borderId="141" xfId="3" applyNumberFormat="1" applyFill="1" applyBorder="1" applyAlignment="1">
      <alignment vertical="center"/>
    </xf>
    <xf numFmtId="0" fontId="13" fillId="0" borderId="79" xfId="3" applyBorder="1" applyAlignment="1">
      <alignment horizontal="right" vertical="center"/>
    </xf>
    <xf numFmtId="0" fontId="13" fillId="0" borderId="101" xfId="3" applyBorder="1" applyAlignment="1">
      <alignment horizontal="right" vertical="center"/>
    </xf>
    <xf numFmtId="181" fontId="13" fillId="0" borderId="102" xfId="3" applyNumberFormat="1" applyBorder="1" applyAlignment="1">
      <alignment horizontal="right" vertical="center"/>
    </xf>
    <xf numFmtId="181" fontId="13" fillId="5" borderId="102" xfId="3" applyNumberFormat="1" applyFill="1" applyBorder="1" applyAlignment="1">
      <alignment horizontal="right" vertical="center"/>
    </xf>
    <xf numFmtId="0" fontId="13" fillId="5" borderId="102" xfId="3" applyFill="1" applyBorder="1" applyAlignment="1">
      <alignment vertical="center"/>
    </xf>
    <xf numFmtId="0" fontId="13" fillId="0" borderId="102" xfId="3" applyBorder="1" applyAlignment="1">
      <alignment vertical="center"/>
    </xf>
    <xf numFmtId="185" fontId="13" fillId="0" borderId="102" xfId="3" applyNumberFormat="1" applyBorder="1" applyAlignment="1">
      <alignment vertical="center"/>
    </xf>
    <xf numFmtId="184" fontId="13" fillId="5" borderId="102" xfId="3" applyNumberFormat="1" applyFill="1" applyBorder="1" applyAlignment="1" applyProtection="1">
      <alignment horizontal="right" vertical="center"/>
      <protection locked="0"/>
    </xf>
    <xf numFmtId="186" fontId="13" fillId="3" borderId="142" xfId="3" applyNumberFormat="1" applyFill="1" applyBorder="1" applyAlignment="1">
      <alignment vertical="center"/>
    </xf>
    <xf numFmtId="187" fontId="13" fillId="4" borderId="143" xfId="3" applyNumberFormat="1" applyFill="1" applyBorder="1" applyAlignment="1">
      <alignment vertical="center"/>
    </xf>
    <xf numFmtId="181" fontId="13" fillId="0" borderId="31" xfId="3" applyNumberFormat="1" applyBorder="1" applyAlignment="1">
      <alignment horizontal="right" vertical="center"/>
    </xf>
    <xf numFmtId="0" fontId="15" fillId="0" borderId="144" xfId="3" applyFont="1" applyBorder="1" applyAlignment="1">
      <alignment vertical="center"/>
    </xf>
    <xf numFmtId="186" fontId="13" fillId="3" borderId="36" xfId="3" applyNumberFormat="1" applyFill="1" applyBorder="1" applyAlignment="1">
      <alignment vertical="center"/>
    </xf>
    <xf numFmtId="187" fontId="13" fillId="4" borderId="129" xfId="3" applyNumberFormat="1" applyFill="1" applyBorder="1" applyAlignment="1">
      <alignment vertical="center"/>
    </xf>
    <xf numFmtId="0" fontId="13" fillId="0" borderId="121" xfId="3" applyBorder="1" applyAlignment="1">
      <alignment vertical="center"/>
    </xf>
    <xf numFmtId="0" fontId="13" fillId="0" borderId="121" xfId="3" applyBorder="1" applyAlignment="1">
      <alignment horizontal="right" vertical="center"/>
    </xf>
    <xf numFmtId="181" fontId="19" fillId="0" borderId="27" xfId="3" applyNumberFormat="1" applyFont="1" applyBorder="1" applyAlignment="1">
      <alignment horizontal="right" vertical="center"/>
    </xf>
    <xf numFmtId="181" fontId="19" fillId="5" borderId="27" xfId="3" applyNumberFormat="1" applyFont="1" applyFill="1" applyBorder="1" applyAlignment="1">
      <alignment horizontal="right" vertical="center"/>
    </xf>
    <xf numFmtId="0" fontId="13" fillId="0" borderId="125" xfId="3" applyBorder="1" applyAlignment="1">
      <alignment horizontal="right" vertical="center"/>
    </xf>
    <xf numFmtId="181" fontId="19" fillId="0" borderId="126" xfId="3" applyNumberFormat="1" applyFont="1" applyBorder="1" applyAlignment="1">
      <alignment horizontal="right" vertical="center"/>
    </xf>
    <xf numFmtId="181" fontId="19" fillId="5" borderId="126" xfId="3" applyNumberFormat="1" applyFont="1" applyFill="1" applyBorder="1" applyAlignment="1">
      <alignment horizontal="right" vertical="center"/>
    </xf>
    <xf numFmtId="0" fontId="15" fillId="0" borderId="85" xfId="3" applyFont="1" applyBorder="1" applyAlignment="1">
      <alignment vertical="center"/>
    </xf>
    <xf numFmtId="185" fontId="4" fillId="0" borderId="23" xfId="4" applyNumberFormat="1" applyBorder="1">
      <alignment vertical="center"/>
    </xf>
    <xf numFmtId="0" fontId="13" fillId="0" borderId="76" xfId="3" applyBorder="1" applyAlignment="1">
      <alignment vertical="center"/>
    </xf>
    <xf numFmtId="185" fontId="13" fillId="0" borderId="89" xfId="3" applyNumberFormat="1" applyBorder="1" applyAlignment="1">
      <alignment vertical="center"/>
    </xf>
    <xf numFmtId="185" fontId="13" fillId="0" borderId="6" xfId="3" applyNumberFormat="1" applyBorder="1" applyAlignment="1">
      <alignment vertical="center"/>
    </xf>
    <xf numFmtId="181" fontId="20" fillId="0" borderId="27" xfId="3" applyNumberFormat="1" applyFont="1" applyBorder="1" applyAlignment="1">
      <alignment horizontal="right" vertical="center"/>
    </xf>
    <xf numFmtId="181" fontId="20" fillId="5" borderId="27" xfId="3" applyNumberFormat="1" applyFont="1" applyFill="1" applyBorder="1" applyAlignment="1">
      <alignment horizontal="right" vertical="center"/>
    </xf>
    <xf numFmtId="0" fontId="9" fillId="5" borderId="27" xfId="3" applyFont="1" applyFill="1" applyBorder="1" applyAlignment="1">
      <alignment vertical="center"/>
    </xf>
    <xf numFmtId="0" fontId="9" fillId="0" borderId="27" xfId="3" applyFont="1" applyBorder="1" applyAlignment="1">
      <alignment vertical="center"/>
    </xf>
    <xf numFmtId="181" fontId="20" fillId="0" borderId="126" xfId="3" applyNumberFormat="1" applyFont="1" applyBorder="1" applyAlignment="1">
      <alignment horizontal="right" vertical="center"/>
    </xf>
    <xf numFmtId="181" fontId="20" fillId="5" borderId="126" xfId="3" applyNumberFormat="1" applyFont="1" applyFill="1" applyBorder="1" applyAlignment="1">
      <alignment horizontal="right" vertical="center"/>
    </xf>
    <xf numFmtId="0" fontId="9" fillId="5" borderId="126" xfId="3" applyFont="1" applyFill="1" applyBorder="1" applyAlignment="1">
      <alignment vertical="center"/>
    </xf>
    <xf numFmtId="0" fontId="9" fillId="0" borderId="126" xfId="3" applyFont="1" applyBorder="1" applyAlignment="1">
      <alignment vertical="center"/>
    </xf>
    <xf numFmtId="0" fontId="9" fillId="0" borderId="109" xfId="3" applyFont="1" applyBorder="1" applyAlignment="1">
      <alignment vertical="center"/>
    </xf>
    <xf numFmtId="181" fontId="9" fillId="0" borderId="31" xfId="3" applyNumberFormat="1" applyFont="1" applyBorder="1" applyAlignment="1">
      <alignment horizontal="right" vertical="center"/>
    </xf>
    <xf numFmtId="0" fontId="9" fillId="0" borderId="31" xfId="3" applyFont="1" applyBorder="1" applyAlignment="1">
      <alignment vertical="center"/>
    </xf>
    <xf numFmtId="185" fontId="9" fillId="0" borderId="31" xfId="3" applyNumberFormat="1" applyFont="1" applyBorder="1" applyAlignment="1">
      <alignment vertical="center"/>
    </xf>
    <xf numFmtId="184" fontId="9" fillId="0" borderId="31" xfId="3" applyNumberFormat="1" applyFont="1" applyBorder="1" applyAlignment="1" applyProtection="1">
      <alignment horizontal="right" vertical="center"/>
      <protection locked="0"/>
    </xf>
    <xf numFmtId="0" fontId="9" fillId="0" borderId="85" xfId="3" applyFont="1" applyBorder="1" applyAlignment="1">
      <alignment vertical="center"/>
    </xf>
    <xf numFmtId="181" fontId="9" fillId="0" borderId="23" xfId="3" applyNumberFormat="1" applyFont="1" applyBorder="1" applyAlignment="1">
      <alignment horizontal="right" vertical="center"/>
    </xf>
    <xf numFmtId="181" fontId="9" fillId="5" borderId="23" xfId="3" applyNumberFormat="1" applyFont="1" applyFill="1" applyBorder="1" applyAlignment="1">
      <alignment horizontal="right" vertical="center"/>
    </xf>
    <xf numFmtId="0" fontId="9" fillId="5" borderId="23" xfId="3" applyFont="1" applyFill="1" applyBorder="1" applyAlignment="1">
      <alignment vertical="center"/>
    </xf>
    <xf numFmtId="0" fontId="9" fillId="0" borderId="23" xfId="3" applyFont="1" applyBorder="1" applyAlignment="1">
      <alignment vertical="center"/>
    </xf>
    <xf numFmtId="185" fontId="9" fillId="0" borderId="23" xfId="3" applyNumberFormat="1" applyFont="1" applyBorder="1" applyAlignment="1">
      <alignment vertical="center"/>
    </xf>
    <xf numFmtId="0" fontId="9" fillId="0" borderId="82" xfId="3" applyFont="1" applyBorder="1" applyAlignment="1">
      <alignment vertical="center"/>
    </xf>
    <xf numFmtId="181" fontId="9" fillId="0" borderId="126" xfId="3" applyNumberFormat="1" applyFont="1" applyBorder="1" applyAlignment="1">
      <alignment horizontal="right" vertical="center"/>
    </xf>
    <xf numFmtId="181" fontId="9" fillId="5" borderId="126" xfId="3" applyNumberFormat="1" applyFont="1" applyFill="1" applyBorder="1" applyAlignment="1">
      <alignment horizontal="right" vertical="center"/>
    </xf>
    <xf numFmtId="185" fontId="9" fillId="0" borderId="126" xfId="3" applyNumberFormat="1" applyFont="1" applyBorder="1" applyAlignment="1">
      <alignment vertical="center"/>
    </xf>
    <xf numFmtId="0" fontId="9" fillId="0" borderId="130" xfId="3" applyFont="1" applyBorder="1" applyAlignment="1">
      <alignment vertical="center"/>
    </xf>
    <xf numFmtId="181" fontId="9" fillId="0" borderId="16" xfId="3" applyNumberFormat="1" applyFont="1" applyBorder="1" applyAlignment="1">
      <alignment horizontal="right" vertical="center"/>
    </xf>
    <xf numFmtId="0" fontId="9" fillId="0" borderId="16" xfId="3" applyFont="1" applyBorder="1" applyAlignment="1">
      <alignment vertical="center"/>
    </xf>
    <xf numFmtId="185" fontId="9" fillId="0" borderId="16" xfId="3" applyNumberFormat="1" applyFont="1" applyBorder="1" applyAlignment="1">
      <alignment vertical="center"/>
    </xf>
    <xf numFmtId="184" fontId="9" fillId="0" borderId="6" xfId="3" applyNumberFormat="1" applyFont="1" applyBorder="1" applyAlignment="1" applyProtection="1">
      <alignment horizontal="right" vertical="center"/>
      <protection locked="0"/>
    </xf>
    <xf numFmtId="0" fontId="9" fillId="0" borderId="128" xfId="3" applyFont="1" applyBorder="1" applyAlignment="1">
      <alignment vertical="center"/>
    </xf>
    <xf numFmtId="181" fontId="9" fillId="0" borderId="6" xfId="3" quotePrefix="1" applyNumberFormat="1" applyFont="1" applyBorder="1" applyAlignment="1">
      <alignment horizontal="right" vertical="center"/>
    </xf>
    <xf numFmtId="181" fontId="9" fillId="5" borderId="6" xfId="3" quotePrefix="1" applyNumberFormat="1" applyFont="1" applyFill="1" applyBorder="1" applyAlignment="1">
      <alignment horizontal="right" vertical="center"/>
    </xf>
    <xf numFmtId="0" fontId="9" fillId="5" borderId="6" xfId="3" applyFont="1" applyFill="1" applyBorder="1" applyAlignment="1">
      <alignment vertical="center"/>
    </xf>
    <xf numFmtId="0" fontId="9" fillId="0" borderId="6" xfId="3" applyFont="1" applyBorder="1" applyAlignment="1">
      <alignment vertical="center"/>
    </xf>
    <xf numFmtId="185" fontId="9" fillId="0" borderId="6" xfId="3" applyNumberFormat="1" applyFont="1" applyBorder="1" applyAlignment="1">
      <alignment vertical="center"/>
    </xf>
    <xf numFmtId="184" fontId="13" fillId="5" borderId="6" xfId="3" applyNumberFormat="1" applyFill="1" applyBorder="1" applyAlignment="1" applyProtection="1">
      <alignment horizontal="right" vertical="center"/>
      <protection locked="0"/>
    </xf>
    <xf numFmtId="187" fontId="13" fillId="4" borderId="34" xfId="3" applyNumberFormat="1" applyFill="1" applyBorder="1" applyAlignment="1">
      <alignment vertical="center"/>
    </xf>
    <xf numFmtId="181" fontId="9" fillId="0" borderId="6" xfId="3" applyNumberFormat="1" applyFont="1" applyBorder="1" applyAlignment="1">
      <alignment horizontal="right" vertical="center"/>
    </xf>
    <xf numFmtId="0" fontId="13" fillId="5" borderId="128" xfId="3" applyFill="1" applyBorder="1" applyAlignment="1">
      <alignment vertical="center"/>
    </xf>
    <xf numFmtId="185" fontId="13" fillId="5" borderId="6" xfId="3" applyNumberFormat="1" applyFill="1" applyBorder="1" applyAlignment="1">
      <alignment vertical="center"/>
    </xf>
    <xf numFmtId="186" fontId="13" fillId="3" borderId="16" xfId="3" applyNumberFormat="1" applyFill="1" applyBorder="1" applyAlignment="1">
      <alignment vertical="center"/>
    </xf>
    <xf numFmtId="187" fontId="13" fillId="4" borderId="28" xfId="3" applyNumberFormat="1" applyFill="1" applyBorder="1" applyAlignment="1">
      <alignment vertical="center"/>
    </xf>
    <xf numFmtId="0" fontId="13" fillId="5" borderId="68" xfId="3" applyFill="1" applyBorder="1" applyAlignment="1">
      <alignment vertical="center"/>
    </xf>
    <xf numFmtId="0" fontId="13" fillId="5" borderId="16" xfId="3" applyFill="1" applyBorder="1" applyAlignment="1">
      <alignment vertical="center"/>
    </xf>
    <xf numFmtId="185" fontId="13" fillId="5" borderId="16" xfId="3" applyNumberFormat="1" applyFill="1" applyBorder="1" applyAlignment="1">
      <alignment vertical="center"/>
    </xf>
    <xf numFmtId="0" fontId="13" fillId="5" borderId="5" xfId="3" applyFill="1" applyBorder="1" applyAlignment="1">
      <alignment vertical="center"/>
    </xf>
    <xf numFmtId="181" fontId="13" fillId="5" borderId="6" xfId="3" applyNumberFormat="1" applyFill="1" applyBorder="1" applyAlignment="1">
      <alignment horizontal="right" vertical="center"/>
    </xf>
    <xf numFmtId="187" fontId="13" fillId="4" borderId="30" xfId="3" applyNumberFormat="1" applyFill="1" applyBorder="1" applyAlignment="1">
      <alignment vertical="center"/>
    </xf>
    <xf numFmtId="0" fontId="13" fillId="0" borderId="145" xfId="3" applyBorder="1" applyAlignment="1">
      <alignment vertical="center"/>
    </xf>
    <xf numFmtId="186" fontId="13" fillId="3" borderId="10" xfId="3" applyNumberFormat="1" applyFill="1" applyBorder="1" applyAlignment="1">
      <alignment vertical="center"/>
    </xf>
    <xf numFmtId="187" fontId="13" fillId="4" borderId="134" xfId="3" applyNumberFormat="1" applyFill="1" applyBorder="1" applyAlignment="1">
      <alignment vertical="center"/>
    </xf>
    <xf numFmtId="187" fontId="13" fillId="4" borderId="11" xfId="3" applyNumberFormat="1" applyFill="1" applyBorder="1" applyAlignment="1">
      <alignment vertical="center"/>
    </xf>
    <xf numFmtId="0" fontId="4" fillId="3" borderId="0" xfId="4" applyFill="1">
      <alignment vertical="center"/>
    </xf>
    <xf numFmtId="0" fontId="14" fillId="3" borderId="0" xfId="3" applyFont="1" applyFill="1" applyAlignment="1">
      <alignment vertical="center"/>
    </xf>
    <xf numFmtId="0" fontId="4" fillId="3" borderId="0" xfId="4" applyFill="1" applyAlignment="1">
      <alignment horizontal="center" vertical="center" shrinkToFit="1"/>
    </xf>
    <xf numFmtId="0" fontId="13" fillId="3" borderId="146" xfId="3" applyFill="1" applyBorder="1" applyAlignment="1">
      <alignment vertical="center"/>
    </xf>
    <xf numFmtId="0" fontId="13" fillId="0" borderId="60" xfId="3" applyBorder="1" applyAlignment="1">
      <alignment horizontal="center" vertical="center" wrapText="1"/>
    </xf>
    <xf numFmtId="0" fontId="13" fillId="0" borderId="60" xfId="3" applyBorder="1" applyAlignment="1">
      <alignment horizontal="centerContinuous" vertical="center"/>
    </xf>
    <xf numFmtId="0" fontId="15" fillId="0" borderId="61" xfId="3" applyFont="1" applyBorder="1" applyAlignment="1">
      <alignment horizontal="centerContinuous" vertical="center"/>
    </xf>
    <xf numFmtId="0" fontId="4" fillId="3" borderId="0" xfId="2" applyFill="1" applyAlignment="1">
      <alignment vertical="center"/>
    </xf>
    <xf numFmtId="0" fontId="13" fillId="3" borderId="147" xfId="3" applyFill="1" applyBorder="1" applyAlignment="1">
      <alignment horizontal="center" vertical="center"/>
    </xf>
    <xf numFmtId="0" fontId="13" fillId="0" borderId="10" xfId="3" applyBorder="1" applyAlignment="1">
      <alignment horizontal="center" vertical="center" wrapText="1"/>
    </xf>
    <xf numFmtId="0" fontId="13" fillId="0" borderId="11" xfId="3" applyBorder="1" applyAlignment="1">
      <alignment horizontal="center" vertical="center" wrapText="1"/>
    </xf>
    <xf numFmtId="0" fontId="13" fillId="3" borderId="59" xfId="3" applyFill="1" applyBorder="1" applyAlignment="1">
      <alignment horizontal="center" vertical="center"/>
    </xf>
    <xf numFmtId="181" fontId="13" fillId="3" borderId="60" xfId="3" applyNumberFormat="1" applyFill="1" applyBorder="1" applyAlignment="1">
      <alignment vertical="center"/>
    </xf>
    <xf numFmtId="0" fontId="13" fillId="5" borderId="60" xfId="3" applyFill="1" applyBorder="1" applyAlignment="1">
      <alignment vertical="center"/>
    </xf>
    <xf numFmtId="180" fontId="13" fillId="0" borderId="60" xfId="3" applyNumberFormat="1" applyBorder="1" applyAlignment="1">
      <alignment vertical="center"/>
    </xf>
    <xf numFmtId="0" fontId="13" fillId="5" borderId="60" xfId="3" applyFill="1" applyBorder="1" applyAlignment="1" applyProtection="1">
      <alignment vertical="center"/>
      <protection locked="0"/>
    </xf>
    <xf numFmtId="179" fontId="13" fillId="3" borderId="60" xfId="3" applyNumberFormat="1" applyFill="1" applyBorder="1" applyAlignment="1">
      <alignment vertical="center"/>
    </xf>
    <xf numFmtId="179" fontId="13" fillId="4" borderId="61" xfId="3" applyNumberFormat="1" applyFill="1" applyBorder="1" applyAlignment="1">
      <alignment vertical="center"/>
    </xf>
    <xf numFmtId="0" fontId="4" fillId="3" borderId="73" xfId="4" applyFill="1" applyBorder="1" applyAlignment="1">
      <alignment horizontal="center" vertical="center" shrinkToFit="1"/>
    </xf>
    <xf numFmtId="0" fontId="4" fillId="3" borderId="74" xfId="4" applyFill="1" applyBorder="1" applyAlignment="1">
      <alignment horizontal="center" vertical="center" shrinkToFit="1"/>
    </xf>
    <xf numFmtId="0" fontId="4" fillId="3" borderId="75" xfId="4" applyFill="1" applyBorder="1" applyAlignment="1">
      <alignment horizontal="center" vertical="center" shrinkToFit="1"/>
    </xf>
    <xf numFmtId="0" fontId="13" fillId="3" borderId="120" xfId="3" applyFill="1" applyBorder="1" applyAlignment="1">
      <alignment horizontal="right" vertical="center"/>
    </xf>
    <xf numFmtId="0" fontId="13" fillId="3" borderId="148" xfId="3" applyFill="1" applyBorder="1" applyAlignment="1">
      <alignment horizontal="center" vertical="center"/>
    </xf>
    <xf numFmtId="181" fontId="13" fillId="3" borderId="77" xfId="3" applyNumberFormat="1" applyFill="1" applyBorder="1" applyAlignment="1">
      <alignment vertical="center"/>
    </xf>
    <xf numFmtId="0" fontId="13" fillId="5" borderId="77" xfId="3" applyFill="1" applyBorder="1" applyAlignment="1">
      <alignment vertical="center"/>
    </xf>
    <xf numFmtId="180" fontId="13" fillId="0" borderId="77" xfId="3" applyNumberFormat="1" applyBorder="1" applyAlignment="1">
      <alignment vertical="center"/>
    </xf>
    <xf numFmtId="0" fontId="13" fillId="5" borderId="77" xfId="3" applyFill="1" applyBorder="1" applyAlignment="1" applyProtection="1">
      <alignment vertical="center"/>
      <protection locked="0"/>
    </xf>
    <xf numFmtId="179" fontId="13" fillId="3" borderId="77" xfId="3" applyNumberFormat="1" applyFill="1" applyBorder="1" applyAlignment="1">
      <alignment vertical="center"/>
    </xf>
    <xf numFmtId="179" fontId="13" fillId="4" borderId="78" xfId="3" applyNumberFormat="1" applyFill="1" applyBorder="1" applyAlignment="1">
      <alignment vertical="center"/>
    </xf>
    <xf numFmtId="0" fontId="4" fillId="3" borderId="79" xfId="4" applyFill="1" applyBorder="1" applyAlignment="1">
      <alignment horizontal="center" vertical="center" shrinkToFit="1"/>
    </xf>
    <xf numFmtId="0" fontId="4" fillId="3" borderId="80" xfId="4" applyFill="1" applyBorder="1" applyAlignment="1">
      <alignment horizontal="center" vertical="center" shrinkToFit="1"/>
    </xf>
    <xf numFmtId="0" fontId="4" fillId="3" borderId="81" xfId="4" applyFill="1" applyBorder="1" applyAlignment="1">
      <alignment horizontal="center" vertical="center" shrinkToFit="1"/>
    </xf>
    <xf numFmtId="0" fontId="15" fillId="3" borderId="148" xfId="3" applyFont="1" applyFill="1" applyBorder="1" applyAlignment="1">
      <alignment horizontal="center" vertical="center"/>
    </xf>
    <xf numFmtId="179" fontId="13" fillId="4" borderId="77" xfId="3" applyNumberFormat="1" applyFill="1" applyBorder="1" applyAlignment="1">
      <alignment vertical="center"/>
    </xf>
    <xf numFmtId="179" fontId="13" fillId="3" borderId="78" xfId="3" applyNumberFormat="1" applyFill="1" applyBorder="1" applyAlignment="1">
      <alignment vertical="center"/>
    </xf>
    <xf numFmtId="181" fontId="15" fillId="3" borderId="77" xfId="3" applyNumberFormat="1" applyFont="1" applyFill="1" applyBorder="1" applyAlignment="1">
      <alignment vertical="center"/>
    </xf>
    <xf numFmtId="0" fontId="15" fillId="3" borderId="149" xfId="3" applyFont="1" applyFill="1" applyBorder="1" applyAlignment="1">
      <alignment horizontal="center" vertical="center"/>
    </xf>
    <xf numFmtId="181" fontId="15" fillId="3" borderId="83" xfId="3" applyNumberFormat="1" applyFont="1" applyFill="1" applyBorder="1" applyAlignment="1">
      <alignment vertical="center"/>
    </xf>
    <xf numFmtId="0" fontId="13" fillId="5" borderId="83" xfId="3" applyFill="1" applyBorder="1" applyAlignment="1">
      <alignment vertical="center"/>
    </xf>
    <xf numFmtId="180" fontId="13" fillId="0" borderId="83" xfId="3" applyNumberFormat="1" applyBorder="1" applyAlignment="1">
      <alignment vertical="center"/>
    </xf>
    <xf numFmtId="0" fontId="13" fillId="5" borderId="83" xfId="3" applyFill="1" applyBorder="1" applyAlignment="1" applyProtection="1">
      <alignment vertical="center"/>
      <protection locked="0"/>
    </xf>
    <xf numFmtId="179" fontId="13" fillId="3" borderId="83" xfId="3" applyNumberFormat="1" applyFill="1" applyBorder="1" applyAlignment="1">
      <alignment vertical="center"/>
    </xf>
    <xf numFmtId="179" fontId="13" fillId="4" borderId="83" xfId="3" applyNumberFormat="1" applyFill="1" applyBorder="1" applyAlignment="1">
      <alignment vertical="center"/>
    </xf>
    <xf numFmtId="179" fontId="13" fillId="3" borderId="84" xfId="3" applyNumberFormat="1" applyFill="1" applyBorder="1" applyAlignment="1">
      <alignment vertical="center"/>
    </xf>
    <xf numFmtId="0" fontId="15" fillId="3" borderId="62" xfId="3" applyFont="1" applyFill="1" applyBorder="1" applyAlignment="1">
      <alignment horizontal="center" vertical="center"/>
    </xf>
    <xf numFmtId="181" fontId="13" fillId="3" borderId="31" xfId="3" applyNumberFormat="1" applyFill="1" applyBorder="1" applyAlignment="1">
      <alignment vertical="center"/>
    </xf>
    <xf numFmtId="0" fontId="13" fillId="3" borderId="31" xfId="3" applyFill="1" applyBorder="1" applyAlignment="1">
      <alignment vertical="center"/>
    </xf>
    <xf numFmtId="180" fontId="13" fillId="3" borderId="31" xfId="3" applyNumberFormat="1" applyFill="1" applyBorder="1" applyAlignment="1">
      <alignment vertical="center"/>
    </xf>
    <xf numFmtId="0" fontId="13" fillId="3" borderId="31" xfId="3" applyFill="1" applyBorder="1" applyAlignment="1" applyProtection="1">
      <alignment vertical="center"/>
      <protection locked="0"/>
    </xf>
    <xf numFmtId="179" fontId="13" fillId="3" borderId="31" xfId="3" applyNumberFormat="1" applyFill="1" applyBorder="1" applyAlignment="1">
      <alignment vertical="center"/>
    </xf>
    <xf numFmtId="179" fontId="13" fillId="3" borderId="64" xfId="3" applyNumberFormat="1" applyFill="1" applyBorder="1" applyAlignment="1">
      <alignment vertical="center"/>
    </xf>
    <xf numFmtId="0" fontId="13" fillId="3" borderId="150" xfId="3" applyFill="1" applyBorder="1" applyAlignment="1">
      <alignment horizontal="center" vertical="center"/>
    </xf>
    <xf numFmtId="181" fontId="13" fillId="3" borderId="91" xfId="3" applyNumberFormat="1" applyFill="1" applyBorder="1" applyAlignment="1">
      <alignment vertical="center"/>
    </xf>
    <xf numFmtId="0" fontId="13" fillId="5" borderId="91" xfId="3" applyFill="1" applyBorder="1" applyAlignment="1">
      <alignment vertical="center"/>
    </xf>
    <xf numFmtId="180" fontId="13" fillId="0" borderId="91" xfId="3" applyNumberFormat="1" applyBorder="1" applyAlignment="1">
      <alignment vertical="center"/>
    </xf>
    <xf numFmtId="0" fontId="13" fillId="5" borderId="91" xfId="3" applyFill="1" applyBorder="1" applyAlignment="1" applyProtection="1">
      <alignment vertical="center"/>
      <protection locked="0"/>
    </xf>
    <xf numFmtId="179" fontId="13" fillId="3" borderId="91" xfId="3" applyNumberFormat="1" applyFill="1" applyBorder="1" applyAlignment="1">
      <alignment vertical="center"/>
    </xf>
    <xf numFmtId="179" fontId="13" fillId="4" borderId="92" xfId="3" applyNumberFormat="1" applyFill="1" applyBorder="1" applyAlignment="1">
      <alignment vertical="center"/>
    </xf>
    <xf numFmtId="181" fontId="13" fillId="3" borderId="83" xfId="3" applyNumberFormat="1" applyFill="1" applyBorder="1" applyAlignment="1">
      <alignment vertical="center"/>
    </xf>
    <xf numFmtId="179" fontId="13" fillId="4" borderId="84" xfId="3" applyNumberFormat="1" applyFill="1" applyBorder="1" applyAlignment="1">
      <alignment vertical="center"/>
    </xf>
    <xf numFmtId="179" fontId="13" fillId="4" borderId="91" xfId="3" applyNumberFormat="1" applyFill="1" applyBorder="1" applyAlignment="1">
      <alignment vertical="center"/>
    </xf>
    <xf numFmtId="179" fontId="13" fillId="3" borderId="92" xfId="3" applyNumberFormat="1" applyFill="1" applyBorder="1" applyAlignment="1">
      <alignment vertical="center"/>
    </xf>
    <xf numFmtId="0" fontId="13" fillId="3" borderId="149" xfId="3" applyFill="1" applyBorder="1" applyAlignment="1">
      <alignment horizontal="center" vertical="center"/>
    </xf>
    <xf numFmtId="0" fontId="15" fillId="3" borderId="150" xfId="3" applyFont="1" applyFill="1" applyBorder="1" applyAlignment="1">
      <alignment horizontal="center" vertical="center"/>
    </xf>
    <xf numFmtId="0" fontId="13" fillId="3" borderId="91" xfId="3" applyFill="1" applyBorder="1" applyAlignment="1">
      <alignment vertical="center"/>
    </xf>
    <xf numFmtId="0" fontId="13" fillId="3" borderId="83" xfId="3" applyFill="1" applyBorder="1" applyAlignment="1">
      <alignment vertical="center"/>
    </xf>
    <xf numFmtId="0" fontId="15" fillId="3" borderId="91" xfId="3" applyFont="1" applyFill="1" applyBorder="1" applyAlignment="1">
      <alignment vertical="center"/>
    </xf>
    <xf numFmtId="0" fontId="13" fillId="3" borderId="77" xfId="3" applyFill="1" applyBorder="1" applyAlignment="1">
      <alignment vertical="center"/>
    </xf>
    <xf numFmtId="0" fontId="15" fillId="3" borderId="83" xfId="3" applyFont="1" applyFill="1" applyBorder="1" applyAlignment="1">
      <alignment vertical="center"/>
    </xf>
    <xf numFmtId="0" fontId="13" fillId="3" borderId="62" xfId="3" applyFill="1" applyBorder="1" applyAlignment="1">
      <alignment horizontal="center" vertical="center"/>
    </xf>
    <xf numFmtId="0" fontId="15" fillId="3" borderId="31" xfId="3" applyFont="1" applyFill="1" applyBorder="1" applyAlignment="1">
      <alignment vertical="center"/>
    </xf>
    <xf numFmtId="0" fontId="13" fillId="3" borderId="151" xfId="3" applyFill="1" applyBorder="1" applyAlignment="1">
      <alignment horizontal="right" vertical="center"/>
    </xf>
    <xf numFmtId="0" fontId="13" fillId="3" borderId="152" xfId="3" applyFill="1" applyBorder="1" applyAlignment="1">
      <alignment horizontal="center" vertical="center"/>
    </xf>
    <xf numFmtId="0" fontId="15" fillId="3" borderId="97" xfId="3" applyFont="1" applyFill="1" applyBorder="1" applyAlignment="1">
      <alignment vertical="center"/>
    </xf>
    <xf numFmtId="0" fontId="13" fillId="5" borderId="97" xfId="3" applyFill="1" applyBorder="1" applyAlignment="1">
      <alignment vertical="center"/>
    </xf>
    <xf numFmtId="180" fontId="13" fillId="0" borderId="97" xfId="3" applyNumberFormat="1" applyBorder="1" applyAlignment="1">
      <alignment vertical="center"/>
    </xf>
    <xf numFmtId="0" fontId="13" fillId="5" borderId="97" xfId="3" applyFill="1" applyBorder="1" applyAlignment="1" applyProtection="1">
      <alignment vertical="center"/>
      <protection locked="0"/>
    </xf>
    <xf numFmtId="179" fontId="13" fillId="3" borderId="97" xfId="3" applyNumberFormat="1" applyFill="1" applyBorder="1" applyAlignment="1">
      <alignment vertical="center"/>
    </xf>
    <xf numFmtId="179" fontId="13" fillId="4" borderId="98" xfId="3" applyNumberFormat="1" applyFill="1" applyBorder="1" applyAlignment="1">
      <alignment vertical="center"/>
    </xf>
    <xf numFmtId="0" fontId="13" fillId="3" borderId="153" xfId="3" applyFill="1" applyBorder="1" applyAlignment="1">
      <alignment horizontal="right" vertical="center"/>
    </xf>
    <xf numFmtId="0" fontId="13" fillId="3" borderId="5" xfId="3" applyFill="1" applyBorder="1" applyAlignment="1">
      <alignment horizontal="center" vertical="center"/>
    </xf>
    <xf numFmtId="0" fontId="15" fillId="3" borderId="6" xfId="3" applyFont="1" applyFill="1" applyBorder="1" applyAlignment="1">
      <alignment vertical="center"/>
    </xf>
    <xf numFmtId="0" fontId="13" fillId="3" borderId="6" xfId="3" applyFill="1" applyBorder="1" applyAlignment="1">
      <alignment vertical="center"/>
    </xf>
    <xf numFmtId="180" fontId="13" fillId="0" borderId="6" xfId="3" applyNumberFormat="1" applyBorder="1" applyAlignment="1">
      <alignment vertical="center"/>
    </xf>
    <xf numFmtId="179" fontId="13" fillId="3" borderId="6" xfId="3" applyNumberFormat="1" applyFill="1" applyBorder="1" applyAlignment="1">
      <alignment vertical="center"/>
    </xf>
    <xf numFmtId="179" fontId="13" fillId="3" borderId="7" xfId="3" applyNumberFormat="1" applyFill="1" applyBorder="1" applyAlignment="1">
      <alignment vertical="center"/>
    </xf>
    <xf numFmtId="0" fontId="4" fillId="3" borderId="101" xfId="4" applyFill="1" applyBorder="1" applyAlignment="1">
      <alignment horizontal="center" vertical="center" shrinkToFit="1"/>
    </xf>
    <xf numFmtId="0" fontId="4" fillId="3" borderId="102" xfId="4" applyFill="1" applyBorder="1" applyAlignment="1">
      <alignment horizontal="center" vertical="center" shrinkToFit="1"/>
    </xf>
    <xf numFmtId="0" fontId="4" fillId="3" borderId="103" xfId="4" applyFill="1" applyBorder="1" applyAlignment="1">
      <alignment horizontal="center" vertical="center" shrinkToFit="1"/>
    </xf>
    <xf numFmtId="0" fontId="13" fillId="3" borderId="154" xfId="3" applyFill="1" applyBorder="1" applyAlignment="1">
      <alignment horizontal="center" vertical="center"/>
    </xf>
    <xf numFmtId="0" fontId="13" fillId="3" borderId="9" xfId="3" applyFill="1" applyBorder="1" applyAlignment="1">
      <alignment horizontal="center" vertical="center"/>
    </xf>
    <xf numFmtId="0" fontId="13" fillId="3" borderId="10" xfId="3" applyFill="1" applyBorder="1" applyAlignment="1">
      <alignment vertical="center"/>
    </xf>
    <xf numFmtId="180" fontId="13" fillId="0" borderId="10" xfId="3" applyNumberFormat="1" applyBorder="1" applyAlignment="1">
      <alignment vertical="center"/>
    </xf>
    <xf numFmtId="0" fontId="13" fillId="0" borderId="10" xfId="3" applyBorder="1" applyAlignment="1" applyProtection="1">
      <alignment vertical="center"/>
      <protection locked="0"/>
    </xf>
    <xf numFmtId="179" fontId="13" fillId="4" borderId="10" xfId="3" applyNumberFormat="1" applyFill="1" applyBorder="1" applyAlignment="1">
      <alignment vertical="center"/>
    </xf>
    <xf numFmtId="0" fontId="0" fillId="3" borderId="65" xfId="4" applyFont="1" applyFill="1" applyBorder="1" applyAlignment="1">
      <alignment horizontal="center" vertical="center" shrinkToFit="1"/>
    </xf>
    <xf numFmtId="0" fontId="16" fillId="3" borderId="66" xfId="4" applyFont="1" applyFill="1" applyBorder="1" applyAlignment="1">
      <alignment horizontal="center" vertical="center" shrinkToFit="1"/>
    </xf>
    <xf numFmtId="0" fontId="16" fillId="3" borderId="67" xfId="4" applyFont="1" applyFill="1" applyBorder="1" applyAlignment="1">
      <alignment horizontal="center" vertical="center" shrinkToFit="1"/>
    </xf>
    <xf numFmtId="0" fontId="6" fillId="2" borderId="0" xfId="2" applyFont="1" applyFill="1" applyAlignment="1">
      <alignment horizontal="centerContinuous" vertical="center"/>
    </xf>
    <xf numFmtId="0" fontId="6" fillId="3" borderId="155" xfId="2" applyFont="1" applyFill="1" applyBorder="1" applyAlignment="1">
      <alignment horizontal="center" vertical="center"/>
    </xf>
    <xf numFmtId="0" fontId="6" fillId="3" borderId="156" xfId="2" applyFont="1" applyFill="1" applyBorder="1" applyAlignment="1">
      <alignment horizontal="center" vertical="center"/>
    </xf>
    <xf numFmtId="0" fontId="6" fillId="3" borderId="157" xfId="2" applyFont="1" applyFill="1" applyBorder="1" applyAlignment="1">
      <alignment horizontal="center" vertical="center"/>
    </xf>
    <xf numFmtId="0" fontId="6" fillId="3" borderId="158" xfId="2" applyFont="1" applyFill="1" applyBorder="1" applyAlignment="1">
      <alignment horizontal="center" vertical="center"/>
    </xf>
    <xf numFmtId="188" fontId="6" fillId="4" borderId="91" xfId="2" applyNumberFormat="1" applyFont="1" applyFill="1" applyBorder="1" applyAlignment="1">
      <alignment vertical="center"/>
    </xf>
    <xf numFmtId="188" fontId="6" fillId="4" borderId="6" xfId="2" applyNumberFormat="1" applyFont="1" applyFill="1" applyBorder="1" applyAlignment="1">
      <alignment vertical="center"/>
    </xf>
    <xf numFmtId="0" fontId="6" fillId="3" borderId="128" xfId="2" applyFont="1" applyFill="1" applyBorder="1" applyAlignment="1">
      <alignment horizontal="center" vertical="center"/>
    </xf>
    <xf numFmtId="188" fontId="6" fillId="3" borderId="31" xfId="2" applyNumberFormat="1" applyFont="1" applyFill="1" applyBorder="1" applyAlignment="1">
      <alignment vertical="center"/>
    </xf>
    <xf numFmtId="188" fontId="6" fillId="4" borderId="13" xfId="2" applyNumberFormat="1" applyFont="1" applyFill="1" applyBorder="1" applyAlignment="1">
      <alignment vertical="center"/>
    </xf>
    <xf numFmtId="0" fontId="6" fillId="3" borderId="0" xfId="2" applyFont="1" applyFill="1" applyAlignment="1">
      <alignment horizontal="right" vertical="center"/>
    </xf>
    <xf numFmtId="0" fontId="6" fillId="3" borderId="169" xfId="2" applyFont="1" applyFill="1" applyBorder="1" applyAlignment="1">
      <alignment horizontal="center" vertical="center"/>
    </xf>
    <xf numFmtId="0" fontId="6" fillId="3" borderId="158" xfId="3" applyFont="1" applyFill="1" applyBorder="1" applyAlignment="1">
      <alignment horizontal="center" vertical="center"/>
    </xf>
    <xf numFmtId="189" fontId="6" fillId="3" borderId="158" xfId="3" applyNumberFormat="1" applyFont="1" applyFill="1" applyBorder="1" applyAlignment="1">
      <alignment horizontal="center" vertical="center"/>
    </xf>
    <xf numFmtId="0" fontId="6" fillId="3" borderId="170" xfId="2" applyFont="1" applyFill="1" applyBorder="1" applyAlignment="1">
      <alignment horizontal="centerContinuous" vertical="center" wrapText="1"/>
    </xf>
    <xf numFmtId="0" fontId="6" fillId="3" borderId="116" xfId="2" applyFont="1" applyFill="1" applyBorder="1" applyAlignment="1">
      <alignment horizontal="centerContinuous" vertical="center"/>
    </xf>
    <xf numFmtId="0" fontId="6" fillId="3" borderId="171" xfId="2" applyFont="1" applyFill="1" applyBorder="1" applyAlignment="1">
      <alignment horizontal="center" vertical="center" wrapText="1"/>
    </xf>
    <xf numFmtId="0" fontId="6" fillId="3" borderId="172" xfId="2" applyFont="1" applyFill="1" applyBorder="1" applyAlignment="1">
      <alignment vertical="center"/>
    </xf>
    <xf numFmtId="0" fontId="6" fillId="3" borderId="173" xfId="2" applyFont="1" applyFill="1" applyBorder="1" applyAlignment="1">
      <alignment vertical="center"/>
    </xf>
    <xf numFmtId="0" fontId="6" fillId="3" borderId="174" xfId="2" applyFont="1" applyFill="1" applyBorder="1" applyAlignment="1">
      <alignment vertical="center"/>
    </xf>
    <xf numFmtId="0" fontId="6" fillId="3" borderId="175" xfId="2" applyFont="1" applyFill="1" applyBorder="1" applyAlignment="1">
      <alignment horizontal="center" vertical="center"/>
    </xf>
    <xf numFmtId="0" fontId="6" fillId="3" borderId="176" xfId="2" applyFont="1" applyFill="1" applyBorder="1" applyAlignment="1">
      <alignment horizontal="center" vertical="center"/>
    </xf>
    <xf numFmtId="0" fontId="6" fillId="3" borderId="177" xfId="2" applyFont="1" applyFill="1" applyBorder="1" applyAlignment="1">
      <alignment horizontal="center" vertical="center" wrapText="1"/>
    </xf>
    <xf numFmtId="0" fontId="6" fillId="3" borderId="66" xfId="2" applyFont="1" applyFill="1" applyBorder="1" applyAlignment="1">
      <alignment horizontal="center" vertical="center" wrapText="1"/>
    </xf>
    <xf numFmtId="0" fontId="6" fillId="3" borderId="178" xfId="2" applyFont="1" applyFill="1" applyBorder="1" applyAlignment="1">
      <alignment horizontal="center" vertical="center" wrapText="1"/>
    </xf>
    <xf numFmtId="0" fontId="6" fillId="3" borderId="179" xfId="2" applyFont="1" applyFill="1" applyBorder="1" applyAlignment="1">
      <alignment horizontal="center" vertical="center"/>
    </xf>
    <xf numFmtId="0" fontId="6" fillId="3" borderId="180" xfId="2" applyFont="1" applyFill="1" applyBorder="1" applyAlignment="1">
      <alignment horizontal="center" vertical="center"/>
    </xf>
    <xf numFmtId="0" fontId="6" fillId="3" borderId="181" xfId="2" applyFont="1" applyFill="1" applyBorder="1" applyAlignment="1">
      <alignment horizontal="center" vertical="center"/>
    </xf>
    <xf numFmtId="0" fontId="6" fillId="2" borderId="182" xfId="2" applyFont="1" applyFill="1" applyBorder="1" applyAlignment="1">
      <alignment vertical="center"/>
    </xf>
    <xf numFmtId="0" fontId="6" fillId="3" borderId="182" xfId="2" applyFont="1" applyFill="1" applyBorder="1" applyAlignment="1">
      <alignment vertical="center"/>
    </xf>
    <xf numFmtId="0" fontId="6" fillId="3" borderId="158" xfId="2" applyFont="1" applyFill="1" applyBorder="1" applyAlignment="1">
      <alignment vertical="center"/>
    </xf>
    <xf numFmtId="0" fontId="6" fillId="2" borderId="183" xfId="2" applyFont="1" applyFill="1" applyBorder="1" applyAlignment="1">
      <alignment vertical="center"/>
    </xf>
    <xf numFmtId="188" fontId="6" fillId="3" borderId="170" xfId="2" applyNumberFormat="1" applyFont="1" applyFill="1" applyBorder="1" applyAlignment="1">
      <alignment vertical="center"/>
    </xf>
    <xf numFmtId="188" fontId="6" fillId="4" borderId="116" xfId="2" applyNumberFormat="1" applyFont="1" applyFill="1" applyBorder="1" applyAlignment="1">
      <alignment vertical="center"/>
    </xf>
    <xf numFmtId="188" fontId="6" fillId="3" borderId="184" xfId="2" applyNumberFormat="1" applyFont="1" applyFill="1" applyBorder="1" applyAlignment="1">
      <alignment vertical="center"/>
    </xf>
    <xf numFmtId="0" fontId="6" fillId="3" borderId="119" xfId="2" applyFont="1" applyFill="1" applyBorder="1" applyAlignment="1">
      <alignment horizontal="center" vertical="center" shrinkToFit="1"/>
    </xf>
    <xf numFmtId="0" fontId="6" fillId="3" borderId="185" xfId="2" applyFont="1" applyFill="1" applyBorder="1" applyAlignment="1">
      <alignment horizontal="center" vertical="center"/>
    </xf>
    <xf numFmtId="0" fontId="6" fillId="3" borderId="24" xfId="2" applyFont="1" applyFill="1" applyBorder="1" applyAlignment="1">
      <alignment horizontal="center" vertical="center"/>
    </xf>
    <xf numFmtId="0" fontId="6" fillId="3" borderId="26" xfId="2" applyFont="1" applyFill="1" applyBorder="1" applyAlignment="1">
      <alignment horizontal="center" vertical="center"/>
    </xf>
    <xf numFmtId="0" fontId="6" fillId="2" borderId="41" xfId="2" applyFont="1" applyFill="1" applyBorder="1" applyAlignment="1">
      <alignment vertical="center"/>
    </xf>
    <xf numFmtId="0" fontId="6" fillId="3" borderId="41" xfId="2" applyFont="1" applyFill="1" applyBorder="1" applyAlignment="1">
      <alignment vertical="center"/>
    </xf>
    <xf numFmtId="0" fontId="6" fillId="2" borderId="45" xfId="2" applyFont="1" applyFill="1" applyBorder="1" applyAlignment="1">
      <alignment vertical="center"/>
    </xf>
    <xf numFmtId="188" fontId="6" fillId="3" borderId="25" xfId="2" applyNumberFormat="1" applyFont="1" applyFill="1" applyBorder="1" applyAlignment="1">
      <alignment vertical="center"/>
    </xf>
    <xf numFmtId="188" fontId="6" fillId="4" borderId="27" xfId="2" applyNumberFormat="1" applyFont="1" applyFill="1" applyBorder="1" applyAlignment="1">
      <alignment vertical="center"/>
    </xf>
    <xf numFmtId="188" fontId="6" fillId="3" borderId="186" xfId="2" applyNumberFormat="1" applyFont="1" applyFill="1" applyBorder="1" applyAlignment="1">
      <alignment vertical="center"/>
    </xf>
    <xf numFmtId="0" fontId="6" fillId="3" borderId="122" xfId="2" applyFont="1" applyFill="1" applyBorder="1" applyAlignment="1">
      <alignment horizontal="center" vertical="center" shrinkToFit="1"/>
    </xf>
    <xf numFmtId="188" fontId="6" fillId="3" borderId="27" xfId="2" applyNumberFormat="1" applyFont="1" applyFill="1" applyBorder="1" applyAlignment="1">
      <alignment vertical="center"/>
    </xf>
    <xf numFmtId="188" fontId="6" fillId="3" borderId="87" xfId="2" applyNumberFormat="1" applyFont="1" applyFill="1" applyBorder="1" applyAlignment="1">
      <alignment vertical="center"/>
    </xf>
    <xf numFmtId="0" fontId="6" fillId="3" borderId="88" xfId="2" applyFont="1" applyFill="1" applyBorder="1" applyAlignment="1">
      <alignment horizontal="center" vertical="center"/>
    </xf>
    <xf numFmtId="0" fontId="6" fillId="3" borderId="58" xfId="2" applyFont="1" applyFill="1" applyBorder="1" applyAlignment="1">
      <alignment horizontal="center" vertical="center"/>
    </xf>
    <xf numFmtId="0" fontId="6" fillId="3" borderId="53" xfId="2" applyFont="1" applyFill="1" applyBorder="1" applyAlignment="1">
      <alignment horizontal="center" vertical="center"/>
    </xf>
    <xf numFmtId="0" fontId="6" fillId="2" borderId="47" xfId="2" applyFont="1" applyFill="1" applyBorder="1" applyAlignment="1">
      <alignment vertical="center"/>
    </xf>
    <xf numFmtId="0" fontId="6" fillId="3" borderId="47" xfId="2" applyFont="1" applyFill="1" applyBorder="1" applyAlignment="1">
      <alignment vertical="center"/>
    </xf>
    <xf numFmtId="0" fontId="6" fillId="3" borderId="57" xfId="2" applyFont="1" applyFill="1" applyBorder="1" applyAlignment="1">
      <alignment vertical="center"/>
    </xf>
    <xf numFmtId="0" fontId="6" fillId="2" borderId="187" xfId="2" applyFont="1" applyFill="1" applyBorder="1" applyAlignment="1">
      <alignment vertical="center"/>
    </xf>
    <xf numFmtId="188" fontId="6" fillId="4" borderId="89" xfId="2" applyNumberFormat="1" applyFont="1" applyFill="1" applyBorder="1" applyAlignment="1">
      <alignment vertical="center"/>
    </xf>
    <xf numFmtId="188" fontId="6" fillId="3" borderId="89" xfId="2" applyNumberFormat="1" applyFont="1" applyFill="1" applyBorder="1" applyAlignment="1">
      <alignment vertical="center"/>
    </xf>
    <xf numFmtId="188" fontId="6" fillId="3" borderId="90" xfId="2" applyNumberFormat="1" applyFont="1" applyFill="1" applyBorder="1" applyAlignment="1">
      <alignment vertical="center"/>
    </xf>
    <xf numFmtId="0" fontId="6" fillId="3" borderId="85" xfId="2" applyFont="1" applyFill="1" applyBorder="1" applyAlignment="1">
      <alignment horizontal="center" vertical="center"/>
    </xf>
    <xf numFmtId="0" fontId="6" fillId="3" borderId="188" xfId="2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center" vertical="center"/>
    </xf>
    <xf numFmtId="0" fontId="6" fillId="2" borderId="189" xfId="2" applyFont="1" applyFill="1" applyBorder="1" applyAlignment="1">
      <alignment vertical="center"/>
    </xf>
    <xf numFmtId="0" fontId="6" fillId="3" borderId="189" xfId="2" applyFont="1" applyFill="1" applyBorder="1" applyAlignment="1">
      <alignment vertical="center"/>
    </xf>
    <xf numFmtId="0" fontId="6" fillId="3" borderId="50" xfId="2" applyFont="1" applyFill="1" applyBorder="1" applyAlignment="1">
      <alignment vertical="center"/>
    </xf>
    <xf numFmtId="0" fontId="6" fillId="2" borderId="44" xfId="2" applyFont="1" applyFill="1" applyBorder="1" applyAlignment="1">
      <alignment vertical="center"/>
    </xf>
    <xf numFmtId="188" fontId="6" fillId="4" borderId="23" xfId="2" applyNumberFormat="1" applyFont="1" applyFill="1" applyBorder="1" applyAlignment="1">
      <alignment vertical="center"/>
    </xf>
    <xf numFmtId="188" fontId="6" fillId="3" borderId="23" xfId="2" applyNumberFormat="1" applyFont="1" applyFill="1" applyBorder="1" applyAlignment="1">
      <alignment vertical="center"/>
    </xf>
    <xf numFmtId="188" fontId="6" fillId="3" borderId="86" xfId="2" applyNumberFormat="1" applyFont="1" applyFill="1" applyBorder="1" applyAlignment="1">
      <alignment vertical="center"/>
    </xf>
    <xf numFmtId="0" fontId="6" fillId="3" borderId="18" xfId="2" applyFont="1" applyFill="1" applyBorder="1" applyAlignment="1">
      <alignment horizontal="center" vertical="center"/>
    </xf>
    <xf numFmtId="0" fontId="6" fillId="3" borderId="85" xfId="2" applyFont="1" applyFill="1" applyBorder="1" applyAlignment="1">
      <alignment horizontal="center" vertical="center" shrinkToFit="1"/>
    </xf>
    <xf numFmtId="0" fontId="6" fillId="3" borderId="41" xfId="2" applyFont="1" applyFill="1" applyBorder="1" applyAlignment="1">
      <alignment horizontal="center" vertical="center"/>
    </xf>
    <xf numFmtId="180" fontId="6" fillId="4" borderId="87" xfId="2" applyNumberFormat="1" applyFont="1" applyFill="1" applyBorder="1" applyAlignment="1">
      <alignment vertical="center"/>
    </xf>
    <xf numFmtId="0" fontId="6" fillId="3" borderId="76" xfId="2" applyFont="1" applyFill="1" applyBorder="1" applyAlignment="1">
      <alignment horizontal="center" vertical="center" shrinkToFit="1"/>
    </xf>
    <xf numFmtId="0" fontId="6" fillId="3" borderId="190" xfId="2" applyFont="1" applyFill="1" applyBorder="1" applyAlignment="1">
      <alignment horizontal="center" vertical="center"/>
    </xf>
    <xf numFmtId="0" fontId="6" fillId="3" borderId="22" xfId="2" applyFont="1" applyFill="1" applyBorder="1" applyAlignment="1">
      <alignment horizontal="center" vertical="center"/>
    </xf>
    <xf numFmtId="180" fontId="6" fillId="4" borderId="191" xfId="2" applyNumberFormat="1" applyFont="1" applyFill="1" applyBorder="1" applyAlignment="1">
      <alignment vertical="center"/>
    </xf>
    <xf numFmtId="0" fontId="6" fillId="3" borderId="172" xfId="2" applyFont="1" applyFill="1" applyBorder="1" applyAlignment="1">
      <alignment horizontal="center" vertical="center"/>
    </xf>
    <xf numFmtId="0" fontId="6" fillId="3" borderId="192" xfId="2" applyFont="1" applyFill="1" applyBorder="1" applyAlignment="1">
      <alignment vertical="center"/>
    </xf>
    <xf numFmtId="0" fontId="6" fillId="3" borderId="8" xfId="2" applyFont="1" applyFill="1" applyBorder="1" applyAlignment="1">
      <alignment vertical="center"/>
    </xf>
    <xf numFmtId="0" fontId="6" fillId="3" borderId="193" xfId="2" applyFont="1" applyFill="1" applyBorder="1" applyAlignment="1">
      <alignment vertical="center"/>
    </xf>
    <xf numFmtId="188" fontId="6" fillId="4" borderId="194" xfId="2" applyNumberFormat="1" applyFont="1" applyFill="1" applyBorder="1" applyAlignment="1">
      <alignment vertical="center"/>
    </xf>
    <xf numFmtId="188" fontId="6" fillId="4" borderId="195" xfId="2" applyNumberFormat="1" applyFont="1" applyFill="1" applyBorder="1" applyAlignment="1">
      <alignment vertical="center"/>
    </xf>
    <xf numFmtId="188" fontId="6" fillId="3" borderId="170" xfId="2" applyNumberFormat="1" applyFont="1" applyFill="1" applyBorder="1" applyAlignment="1">
      <alignment horizontal="centerContinuous" vertical="center" wrapText="1"/>
    </xf>
    <xf numFmtId="188" fontId="6" fillId="3" borderId="116" xfId="2" applyNumberFormat="1" applyFont="1" applyFill="1" applyBorder="1" applyAlignment="1">
      <alignment horizontal="centerContinuous" vertical="center"/>
    </xf>
    <xf numFmtId="188" fontId="6" fillId="3" borderId="171" xfId="2" applyNumberFormat="1" applyFont="1" applyFill="1" applyBorder="1" applyAlignment="1">
      <alignment horizontal="center" vertical="center" wrapText="1"/>
    </xf>
    <xf numFmtId="188" fontId="6" fillId="3" borderId="177" xfId="2" applyNumberFormat="1" applyFont="1" applyFill="1" applyBorder="1" applyAlignment="1">
      <alignment horizontal="center" vertical="center" wrapText="1"/>
    </xf>
    <xf numFmtId="188" fontId="6" fillId="3" borderId="66" xfId="2" applyNumberFormat="1" applyFont="1" applyFill="1" applyBorder="1" applyAlignment="1">
      <alignment horizontal="center" vertical="center" wrapText="1"/>
    </xf>
    <xf numFmtId="188" fontId="6" fillId="3" borderId="178" xfId="2" applyNumberFormat="1" applyFont="1" applyFill="1" applyBorder="1" applyAlignment="1">
      <alignment horizontal="center" vertical="center" wrapText="1"/>
    </xf>
    <xf numFmtId="0" fontId="6" fillId="2" borderId="163" xfId="2" applyFont="1" applyFill="1" applyBorder="1" applyAlignment="1">
      <alignment horizontal="center" vertical="center" shrinkToFit="1"/>
    </xf>
    <xf numFmtId="0" fontId="6" fillId="6" borderId="46" xfId="2" applyFont="1" applyFill="1" applyBorder="1" applyAlignment="1">
      <alignment horizontal="center" vertical="center"/>
    </xf>
    <xf numFmtId="0" fontId="6" fillId="3" borderId="49" xfId="2" applyFont="1" applyFill="1" applyBorder="1" applyAlignment="1">
      <alignment horizontal="center" vertical="center"/>
    </xf>
    <xf numFmtId="0" fontId="6" fillId="2" borderId="196" xfId="2" applyFont="1" applyFill="1" applyBorder="1" applyAlignment="1">
      <alignment horizontal="center" vertical="center"/>
    </xf>
    <xf numFmtId="0" fontId="11" fillId="3" borderId="197" xfId="2" applyFont="1" applyFill="1" applyBorder="1" applyAlignment="1">
      <alignment horizontal="center" vertical="center"/>
    </xf>
    <xf numFmtId="0" fontId="6" fillId="2" borderId="197" xfId="2" applyFont="1" applyFill="1" applyBorder="1" applyAlignment="1">
      <alignment horizontal="center" vertical="center"/>
    </xf>
    <xf numFmtId="0" fontId="6" fillId="0" borderId="198" xfId="2" applyFont="1" applyBorder="1" applyAlignment="1">
      <alignment vertical="center"/>
    </xf>
    <xf numFmtId="0" fontId="6" fillId="3" borderId="198" xfId="2" applyFont="1" applyFill="1" applyBorder="1" applyAlignment="1">
      <alignment vertical="center"/>
    </xf>
    <xf numFmtId="0" fontId="6" fillId="0" borderId="199" xfId="2" applyFont="1" applyBorder="1" applyAlignment="1">
      <alignment vertical="center"/>
    </xf>
    <xf numFmtId="188" fontId="6" fillId="3" borderId="200" xfId="2" applyNumberFormat="1" applyFont="1" applyFill="1" applyBorder="1" applyAlignment="1">
      <alignment vertical="center"/>
    </xf>
    <xf numFmtId="188" fontId="6" fillId="3" borderId="201" xfId="2" applyNumberFormat="1" applyFont="1" applyFill="1" applyBorder="1" applyAlignment="1">
      <alignment vertical="center"/>
    </xf>
    <xf numFmtId="188" fontId="6" fillId="4" borderId="202" xfId="2" applyNumberFormat="1" applyFont="1" applyFill="1" applyBorder="1" applyAlignment="1">
      <alignment vertical="center"/>
    </xf>
    <xf numFmtId="0" fontId="11" fillId="3" borderId="76" xfId="2" applyFont="1" applyFill="1" applyBorder="1" applyAlignment="1">
      <alignment horizontal="right" vertical="center"/>
    </xf>
    <xf numFmtId="0" fontId="11" fillId="3" borderId="26" xfId="2" applyFont="1" applyFill="1" applyBorder="1" applyAlignment="1">
      <alignment horizontal="center" vertical="center"/>
    </xf>
    <xf numFmtId="0" fontId="6" fillId="2" borderId="26" xfId="2" applyFont="1" applyFill="1" applyBorder="1" applyAlignment="1">
      <alignment horizontal="center" vertical="center"/>
    </xf>
    <xf numFmtId="0" fontId="6" fillId="0" borderId="41" xfId="2" applyFont="1" applyBorder="1" applyAlignment="1">
      <alignment vertical="center"/>
    </xf>
    <xf numFmtId="0" fontId="6" fillId="0" borderId="45" xfId="2" applyFont="1" applyBorder="1" applyAlignment="1">
      <alignment vertical="center"/>
    </xf>
    <xf numFmtId="188" fontId="6" fillId="4" borderId="186" xfId="2" applyNumberFormat="1" applyFont="1" applyFill="1" applyBorder="1" applyAlignment="1">
      <alignment vertical="center"/>
    </xf>
    <xf numFmtId="0" fontId="6" fillId="3" borderId="82" xfId="2" applyFont="1" applyFill="1" applyBorder="1" applyAlignment="1">
      <alignment horizontal="center" vertical="center"/>
    </xf>
    <xf numFmtId="188" fontId="6" fillId="4" borderId="203" xfId="2" applyNumberFormat="1" applyFont="1" applyFill="1" applyBorder="1" applyAlignment="1">
      <alignment vertical="center"/>
    </xf>
    <xf numFmtId="0" fontId="11" fillId="3" borderId="161" xfId="2" applyFont="1" applyFill="1" applyBorder="1" applyAlignment="1">
      <alignment horizontal="center" vertical="center"/>
    </xf>
    <xf numFmtId="0" fontId="6" fillId="0" borderId="161" xfId="2" applyFont="1" applyBorder="1" applyAlignment="1">
      <alignment horizontal="center" vertical="center"/>
    </xf>
    <xf numFmtId="0" fontId="6" fillId="0" borderId="39" xfId="2" applyFont="1" applyBorder="1" applyAlignment="1">
      <alignment vertical="center"/>
    </xf>
    <xf numFmtId="0" fontId="6" fillId="3" borderId="39" xfId="2" applyFont="1" applyFill="1" applyBorder="1" applyAlignment="1">
      <alignment vertical="center"/>
    </xf>
    <xf numFmtId="0" fontId="6" fillId="0" borderId="204" xfId="2" applyFont="1" applyBorder="1" applyAlignment="1">
      <alignment vertical="center"/>
    </xf>
    <xf numFmtId="188" fontId="6" fillId="3" borderId="48" xfId="2" applyNumberFormat="1" applyFont="1" applyFill="1" applyBorder="1" applyAlignment="1">
      <alignment vertical="center"/>
    </xf>
    <xf numFmtId="188" fontId="6" fillId="3" borderId="6" xfId="2" applyNumberFormat="1" applyFont="1" applyFill="1" applyBorder="1" applyAlignment="1">
      <alignment vertical="center"/>
    </xf>
    <xf numFmtId="188" fontId="6" fillId="3" borderId="205" xfId="2" applyNumberFormat="1" applyFont="1" applyFill="1" applyBorder="1" applyAlignment="1">
      <alignment vertical="center"/>
    </xf>
    <xf numFmtId="0" fontId="6" fillId="2" borderId="165" xfId="2" applyFont="1" applyFill="1" applyBorder="1" applyAlignment="1">
      <alignment horizontal="center" vertical="center"/>
    </xf>
    <xf numFmtId="0" fontId="6" fillId="6" borderId="52" xfId="2" applyFont="1" applyFill="1" applyBorder="1" applyAlignment="1">
      <alignment horizontal="center" vertical="center"/>
    </xf>
    <xf numFmtId="0" fontId="6" fillId="3" borderId="162" xfId="2" applyFont="1" applyFill="1" applyBorder="1" applyAlignment="1">
      <alignment horizontal="center" vertical="center"/>
    </xf>
    <xf numFmtId="0" fontId="6" fillId="2" borderId="42" xfId="2" applyFont="1" applyFill="1" applyBorder="1" applyAlignment="1">
      <alignment vertical="center"/>
    </xf>
    <xf numFmtId="0" fontId="6" fillId="3" borderId="42" xfId="2" applyFont="1" applyFill="1" applyBorder="1" applyAlignment="1">
      <alignment vertical="center"/>
    </xf>
    <xf numFmtId="0" fontId="6" fillId="2" borderId="166" xfId="2" applyFont="1" applyFill="1" applyBorder="1" applyAlignment="1">
      <alignment vertical="center"/>
    </xf>
    <xf numFmtId="188" fontId="6" fillId="3" borderId="206" xfId="2" applyNumberFormat="1" applyFont="1" applyFill="1" applyBorder="1" applyAlignment="1">
      <alignment vertical="center"/>
    </xf>
    <xf numFmtId="188" fontId="6" fillId="4" borderId="207" xfId="2" applyNumberFormat="1" applyFont="1" applyFill="1" applyBorder="1" applyAlignment="1">
      <alignment vertical="center"/>
    </xf>
    <xf numFmtId="0" fontId="6" fillId="2" borderId="163" xfId="2" applyFont="1" applyFill="1" applyBorder="1" applyAlignment="1">
      <alignment horizontal="center" vertical="center"/>
    </xf>
    <xf numFmtId="0" fontId="6" fillId="2" borderId="208" xfId="2" applyFont="1" applyFill="1" applyBorder="1" applyAlignment="1">
      <alignment horizontal="center" vertical="center" shrinkToFit="1"/>
    </xf>
    <xf numFmtId="0" fontId="11" fillId="3" borderId="53" xfId="2" applyFont="1" applyFill="1" applyBorder="1" applyAlignment="1">
      <alignment horizontal="center" vertical="center"/>
    </xf>
    <xf numFmtId="0" fontId="6" fillId="2" borderId="53" xfId="2" applyFont="1" applyFill="1" applyBorder="1" applyAlignment="1">
      <alignment horizontal="center" vertical="center"/>
    </xf>
    <xf numFmtId="0" fontId="6" fillId="0" borderId="47" xfId="2" applyFont="1" applyBorder="1" applyAlignment="1">
      <alignment vertical="center"/>
    </xf>
    <xf numFmtId="0" fontId="6" fillId="0" borderId="187" xfId="2" applyFont="1" applyBorder="1" applyAlignment="1">
      <alignment vertical="center"/>
    </xf>
    <xf numFmtId="188" fontId="6" fillId="3" borderId="209" xfId="2" applyNumberFormat="1" applyFont="1" applyFill="1" applyBorder="1" applyAlignment="1">
      <alignment vertical="center"/>
    </xf>
    <xf numFmtId="0" fontId="11" fillId="3" borderId="210" xfId="2" applyFont="1" applyFill="1" applyBorder="1" applyAlignment="1">
      <alignment horizontal="center" vertical="center"/>
    </xf>
    <xf numFmtId="0" fontId="6" fillId="0" borderId="210" xfId="2" applyFont="1" applyBorder="1" applyAlignment="1">
      <alignment horizontal="center" vertical="center"/>
    </xf>
    <xf numFmtId="0" fontId="6" fillId="0" borderId="211" xfId="2" applyFont="1" applyBorder="1" applyAlignment="1">
      <alignment vertical="center"/>
    </xf>
    <xf numFmtId="0" fontId="6" fillId="3" borderId="211" xfId="2" applyFont="1" applyFill="1" applyBorder="1" applyAlignment="1">
      <alignment vertical="center"/>
    </xf>
    <xf numFmtId="0" fontId="6" fillId="0" borderId="212" xfId="2" applyFont="1" applyBorder="1" applyAlignment="1">
      <alignment vertical="center"/>
    </xf>
    <xf numFmtId="188" fontId="6" fillId="4" borderId="10" xfId="2" applyNumberFormat="1" applyFont="1" applyFill="1" applyBorder="1" applyAlignment="1">
      <alignment vertical="center"/>
    </xf>
    <xf numFmtId="188" fontId="6" fillId="4" borderId="11" xfId="2" applyNumberFormat="1" applyFont="1" applyFill="1" applyBorder="1" applyAlignment="1">
      <alignment vertical="center"/>
    </xf>
    <xf numFmtId="188" fontId="6" fillId="4" borderId="31" xfId="2" applyNumberFormat="1" applyFont="1" applyFill="1" applyBorder="1" applyAlignment="1">
      <alignment vertical="center"/>
    </xf>
    <xf numFmtId="188" fontId="6" fillId="3" borderId="207" xfId="2" applyNumberFormat="1" applyFont="1" applyFill="1" applyBorder="1" applyAlignment="1">
      <alignment vertical="center"/>
    </xf>
    <xf numFmtId="0" fontId="6" fillId="2" borderId="50" xfId="2" applyFont="1" applyFill="1" applyBorder="1" applyAlignment="1">
      <alignment vertical="center"/>
    </xf>
    <xf numFmtId="0" fontId="6" fillId="2" borderId="167" xfId="2" applyFont="1" applyFill="1" applyBorder="1" applyAlignment="1">
      <alignment vertical="center"/>
    </xf>
    <xf numFmtId="188" fontId="6" fillId="3" borderId="51" xfId="2" applyNumberFormat="1" applyFont="1" applyFill="1" applyBorder="1" applyAlignment="1">
      <alignment vertical="center"/>
    </xf>
    <xf numFmtId="188" fontId="6" fillId="3" borderId="213" xfId="2" applyNumberFormat="1" applyFont="1" applyFill="1" applyBorder="1" applyAlignment="1">
      <alignment vertical="center"/>
    </xf>
    <xf numFmtId="188" fontId="6" fillId="4" borderId="213" xfId="2" applyNumberFormat="1" applyFont="1" applyFill="1" applyBorder="1" applyAlignment="1">
      <alignment vertical="center"/>
    </xf>
    <xf numFmtId="0" fontId="11" fillId="3" borderId="22" xfId="2" applyFont="1" applyFill="1" applyBorder="1" applyAlignment="1">
      <alignment horizontal="center" vertical="center"/>
    </xf>
    <xf numFmtId="0" fontId="6" fillId="2" borderId="22" xfId="2" applyFont="1" applyFill="1" applyBorder="1" applyAlignment="1">
      <alignment horizontal="center" vertical="center"/>
    </xf>
    <xf numFmtId="0" fontId="6" fillId="0" borderId="190" xfId="2" applyFont="1" applyBorder="1" applyAlignment="1">
      <alignment vertical="center"/>
    </xf>
    <xf numFmtId="0" fontId="6" fillId="3" borderId="190" xfId="2" applyFont="1" applyFill="1" applyBorder="1" applyAlignment="1">
      <alignment vertical="center"/>
    </xf>
    <xf numFmtId="0" fontId="6" fillId="0" borderId="214" xfId="2" applyFont="1" applyBorder="1" applyAlignment="1">
      <alignment vertical="center"/>
    </xf>
    <xf numFmtId="188" fontId="6" fillId="3" borderId="19" xfId="2" applyNumberFormat="1" applyFont="1" applyFill="1" applyBorder="1" applyAlignment="1">
      <alignment vertical="center"/>
    </xf>
    <xf numFmtId="188" fontId="6" fillId="3" borderId="126" xfId="2" applyNumberFormat="1" applyFont="1" applyFill="1" applyBorder="1" applyAlignment="1">
      <alignment vertical="center"/>
    </xf>
    <xf numFmtId="0" fontId="6" fillId="3" borderId="168" xfId="2" applyFont="1" applyFill="1" applyBorder="1" applyAlignment="1">
      <alignment horizontal="center" vertical="center"/>
    </xf>
    <xf numFmtId="0" fontId="11" fillId="3" borderId="46" xfId="2" applyFont="1" applyFill="1" applyBorder="1" applyAlignment="1">
      <alignment horizontal="center" vertical="center"/>
    </xf>
    <xf numFmtId="0" fontId="6" fillId="0" borderId="50" xfId="2" applyFont="1" applyBorder="1" applyAlignment="1">
      <alignment horizontal="center" vertical="center"/>
    </xf>
    <xf numFmtId="0" fontId="6" fillId="0" borderId="50" xfId="2" applyFont="1" applyBorder="1" applyAlignment="1">
      <alignment vertical="center"/>
    </xf>
    <xf numFmtId="0" fontId="6" fillId="0" borderId="51" xfId="2" applyFont="1" applyBorder="1" applyAlignment="1">
      <alignment vertical="center"/>
    </xf>
    <xf numFmtId="188" fontId="6" fillId="4" borderId="38" xfId="2" applyNumberFormat="1" applyFont="1" applyFill="1" applyBorder="1" applyAlignment="1">
      <alignment vertical="center"/>
    </xf>
    <xf numFmtId="188" fontId="6" fillId="4" borderId="215" xfId="2" applyNumberFormat="1" applyFont="1" applyFill="1" applyBorder="1" applyAlignment="1">
      <alignment vertical="center"/>
    </xf>
    <xf numFmtId="188" fontId="6" fillId="3" borderId="13" xfId="2" applyNumberFormat="1" applyFont="1" applyFill="1" applyBorder="1" applyAlignment="1">
      <alignment vertical="center"/>
    </xf>
    <xf numFmtId="0" fontId="6" fillId="0" borderId="200" xfId="2" applyFont="1" applyBorder="1" applyAlignment="1">
      <alignment vertical="center"/>
    </xf>
    <xf numFmtId="0" fontId="6" fillId="0" borderId="25" xfId="2" applyFont="1" applyBorder="1" applyAlignment="1">
      <alignment vertical="center"/>
    </xf>
    <xf numFmtId="0" fontId="6" fillId="0" borderId="19" xfId="2" applyFont="1" applyBorder="1" applyAlignment="1">
      <alignment vertical="center"/>
    </xf>
    <xf numFmtId="0" fontId="6" fillId="3" borderId="216" xfId="2" applyFont="1" applyFill="1" applyBorder="1" applyAlignment="1">
      <alignment vertical="center"/>
    </xf>
    <xf numFmtId="0" fontId="6" fillId="3" borderId="46" xfId="2" applyFont="1" applyFill="1" applyBorder="1" applyAlignment="1">
      <alignment vertical="center"/>
    </xf>
    <xf numFmtId="0" fontId="6" fillId="3" borderId="51" xfId="2" applyFont="1" applyFill="1" applyBorder="1" applyAlignment="1">
      <alignment vertical="center"/>
    </xf>
    <xf numFmtId="188" fontId="6" fillId="4" borderId="7" xfId="2" applyNumberFormat="1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11" fillId="3" borderId="217" xfId="2" applyFont="1" applyFill="1" applyBorder="1" applyAlignment="1">
      <alignment horizontal="center" vertical="center"/>
    </xf>
    <xf numFmtId="0" fontId="6" fillId="0" borderId="39" xfId="2" applyFont="1" applyBorder="1" applyAlignment="1">
      <alignment horizontal="center" vertical="center"/>
    </xf>
    <xf numFmtId="0" fontId="6" fillId="0" borderId="48" xfId="2" applyFont="1" applyBorder="1" applyAlignment="1">
      <alignment vertical="center"/>
    </xf>
    <xf numFmtId="188" fontId="6" fillId="3" borderId="4" xfId="2" applyNumberFormat="1" applyFont="1" applyFill="1" applyBorder="1" applyAlignment="1">
      <alignment vertical="center"/>
    </xf>
    <xf numFmtId="188" fontId="6" fillId="4" borderId="218" xfId="2" applyNumberFormat="1" applyFont="1" applyFill="1" applyBorder="1" applyAlignment="1">
      <alignment vertical="center"/>
    </xf>
    <xf numFmtId="0" fontId="6" fillId="3" borderId="216" xfId="2" applyFont="1" applyFill="1" applyBorder="1" applyAlignment="1">
      <alignment horizontal="center" vertical="center"/>
    </xf>
    <xf numFmtId="188" fontId="6" fillId="3" borderId="218" xfId="2" applyNumberFormat="1" applyFont="1" applyFill="1" applyBorder="1" applyAlignment="1">
      <alignment vertical="center"/>
    </xf>
    <xf numFmtId="0" fontId="6" fillId="2" borderId="208" xfId="2" applyFont="1" applyFill="1" applyBorder="1" applyAlignment="1">
      <alignment horizontal="center" vertical="center"/>
    </xf>
    <xf numFmtId="0" fontId="6" fillId="6" borderId="219" xfId="2" applyFont="1" applyFill="1" applyBorder="1" applyAlignment="1">
      <alignment horizontal="center" vertical="center"/>
    </xf>
    <xf numFmtId="0" fontId="6" fillId="3" borderId="160" xfId="2" applyFont="1" applyFill="1" applyBorder="1" applyAlignment="1">
      <alignment horizontal="center" vertical="center"/>
    </xf>
    <xf numFmtId="0" fontId="6" fillId="2" borderId="220" xfId="2" applyFont="1" applyFill="1" applyBorder="1" applyAlignment="1">
      <alignment vertical="center"/>
    </xf>
    <xf numFmtId="0" fontId="6" fillId="3" borderId="220" xfId="2" applyFont="1" applyFill="1" applyBorder="1" applyAlignment="1">
      <alignment vertical="center"/>
    </xf>
    <xf numFmtId="0" fontId="6" fillId="2" borderId="164" xfId="2" applyFont="1" applyFill="1" applyBorder="1" applyAlignment="1">
      <alignment vertical="center"/>
    </xf>
    <xf numFmtId="188" fontId="6" fillId="3" borderId="91" xfId="2" applyNumberFormat="1" applyFont="1" applyFill="1" applyBorder="1" applyAlignment="1">
      <alignment vertical="center"/>
    </xf>
    <xf numFmtId="188" fontId="6" fillId="3" borderId="92" xfId="2" applyNumberFormat="1" applyFont="1" applyFill="1" applyBorder="1" applyAlignment="1">
      <alignment vertical="center"/>
    </xf>
    <xf numFmtId="0" fontId="6" fillId="2" borderId="109" xfId="2" applyFont="1" applyFill="1" applyBorder="1" applyAlignment="1">
      <alignment horizontal="center" vertical="center"/>
    </xf>
    <xf numFmtId="0" fontId="11" fillId="3" borderId="52" xfId="2" applyFont="1" applyFill="1" applyBorder="1" applyAlignment="1">
      <alignment horizontal="center" vertical="center"/>
    </xf>
    <xf numFmtId="0" fontId="6" fillId="2" borderId="42" xfId="2" applyFont="1" applyFill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42" xfId="2" applyFont="1" applyBorder="1" applyAlignment="1">
      <alignment vertical="center"/>
    </xf>
    <xf numFmtId="0" fontId="6" fillId="0" borderId="206" xfId="2" applyFont="1" applyBorder="1" applyAlignment="1">
      <alignment vertical="center"/>
    </xf>
    <xf numFmtId="188" fontId="6" fillId="3" borderId="0" xfId="2" applyNumberFormat="1" applyFont="1" applyFill="1" applyAlignment="1">
      <alignment vertical="center"/>
    </xf>
    <xf numFmtId="0" fontId="11" fillId="3" borderId="221" xfId="2" applyFont="1" applyFill="1" applyBorder="1" applyAlignment="1">
      <alignment horizontal="center" vertical="center"/>
    </xf>
    <xf numFmtId="0" fontId="6" fillId="2" borderId="222" xfId="2" applyFont="1" applyFill="1" applyBorder="1" applyAlignment="1">
      <alignment horizontal="center" vertical="center"/>
    </xf>
    <xf numFmtId="0" fontId="6" fillId="0" borderId="222" xfId="2" applyFont="1" applyBorder="1" applyAlignment="1">
      <alignment horizontal="center" vertical="center"/>
    </xf>
    <xf numFmtId="0" fontId="6" fillId="0" borderId="222" xfId="2" applyFont="1" applyBorder="1" applyAlignment="1">
      <alignment vertical="center"/>
    </xf>
    <xf numFmtId="0" fontId="6" fillId="0" borderId="223" xfId="2" applyFont="1" applyBorder="1" applyAlignment="1">
      <alignment vertical="center"/>
    </xf>
    <xf numFmtId="188" fontId="6" fillId="3" borderId="77" xfId="2" applyNumberFormat="1" applyFont="1" applyFill="1" applyBorder="1" applyAlignment="1">
      <alignment vertical="center"/>
    </xf>
    <xf numFmtId="188" fontId="6" fillId="3" borderId="159" xfId="2" applyNumberFormat="1" applyFont="1" applyFill="1" applyBorder="1" applyAlignment="1">
      <alignment vertical="center"/>
    </xf>
    <xf numFmtId="188" fontId="6" fillId="4" borderId="224" xfId="2" applyNumberFormat="1" applyFont="1" applyFill="1" applyBorder="1" applyAlignment="1">
      <alignment vertical="center"/>
    </xf>
    <xf numFmtId="0" fontId="6" fillId="3" borderId="109" xfId="2" applyFont="1" applyFill="1" applyBorder="1" applyAlignment="1">
      <alignment horizontal="center" vertical="center"/>
    </xf>
    <xf numFmtId="188" fontId="6" fillId="3" borderId="16" xfId="2" applyNumberFormat="1" applyFont="1" applyFill="1" applyBorder="1" applyAlignment="1">
      <alignment vertical="center"/>
    </xf>
    <xf numFmtId="188" fontId="6" fillId="3" borderId="12" xfId="2" applyNumberFormat="1" applyFont="1" applyFill="1" applyBorder="1" applyAlignment="1">
      <alignment vertical="center"/>
    </xf>
    <xf numFmtId="188" fontId="6" fillId="4" borderId="225" xfId="2" applyNumberFormat="1" applyFont="1" applyFill="1" applyBorder="1" applyAlignment="1">
      <alignment vertical="center"/>
    </xf>
    <xf numFmtId="188" fontId="6" fillId="3" borderId="7" xfId="2" applyNumberFormat="1" applyFont="1" applyFill="1" applyBorder="1" applyAlignment="1">
      <alignment vertical="center"/>
    </xf>
    <xf numFmtId="0" fontId="6" fillId="3" borderId="132" xfId="2" applyFont="1" applyFill="1" applyBorder="1" applyAlignment="1">
      <alignment horizontal="center" vertical="center" shrinkToFit="1"/>
    </xf>
    <xf numFmtId="188" fontId="6" fillId="4" borderId="63" xfId="2" applyNumberFormat="1" applyFont="1" applyFill="1" applyBorder="1" applyAlignment="1">
      <alignment vertical="center"/>
    </xf>
    <xf numFmtId="0" fontId="6" fillId="3" borderId="65" xfId="2" applyFont="1" applyFill="1" applyBorder="1" applyAlignment="1">
      <alignment horizontal="center" vertical="center" shrinkToFit="1"/>
    </xf>
    <xf numFmtId="0" fontId="12" fillId="3" borderId="135" xfId="2" applyFont="1" applyFill="1" applyBorder="1" applyAlignment="1">
      <alignment horizontal="center" vertical="center" shrinkToFit="1"/>
    </xf>
    <xf numFmtId="0" fontId="6" fillId="3" borderId="106" xfId="2" applyFont="1" applyFill="1" applyBorder="1" applyAlignment="1">
      <alignment vertical="center"/>
    </xf>
    <xf numFmtId="0" fontId="9" fillId="0" borderId="55" xfId="0" applyFont="1" applyBorder="1" applyAlignment="1"/>
    <xf numFmtId="3" fontId="9" fillId="0" borderId="57" xfId="0" applyNumberFormat="1" applyFont="1" applyBorder="1" applyAlignment="1"/>
    <xf numFmtId="3" fontId="9" fillId="0" borderId="37" xfId="0" applyNumberFormat="1" applyFont="1" applyBorder="1" applyAlignment="1"/>
    <xf numFmtId="0" fontId="9" fillId="0" borderId="58" xfId="0" applyFont="1" applyBorder="1">
      <alignment vertical="center"/>
    </xf>
    <xf numFmtId="3" fontId="9" fillId="0" borderId="47" xfId="0" applyNumberFormat="1" applyFont="1" applyBorder="1" applyAlignment="1"/>
    <xf numFmtId="3" fontId="9" fillId="0" borderId="54" xfId="0" applyNumberFormat="1" applyFont="1" applyBorder="1" applyAlignment="1"/>
    <xf numFmtId="178" fontId="21" fillId="0" borderId="37" xfId="0" applyNumberFormat="1" applyFont="1" applyBorder="1" applyAlignment="1">
      <alignment horizontal="right"/>
    </xf>
    <xf numFmtId="190" fontId="9" fillId="0" borderId="37" xfId="0" applyNumberFormat="1" applyFont="1" applyBorder="1" applyAlignment="1"/>
    <xf numFmtId="10" fontId="9" fillId="0" borderId="57" xfId="5" applyNumberFormat="1" applyFont="1" applyFill="1" applyBorder="1" applyAlignment="1"/>
    <xf numFmtId="191" fontId="9" fillId="0" borderId="57" xfId="0" applyNumberFormat="1" applyFont="1" applyBorder="1" applyAlignment="1"/>
    <xf numFmtId="3" fontId="9" fillId="0" borderId="37" xfId="0" applyNumberFormat="1" applyFont="1" applyBorder="1" applyAlignment="1">
      <alignment horizontal="right"/>
    </xf>
    <xf numFmtId="3" fontId="0" fillId="0" borderId="54" xfId="0" applyNumberFormat="1" applyBorder="1" applyAlignment="1">
      <alignment horizontal="right"/>
    </xf>
    <xf numFmtId="0" fontId="9" fillId="0" borderId="51" xfId="2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/>
    </xf>
    <xf numFmtId="0" fontId="9" fillId="0" borderId="49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0" fontId="9" fillId="0" borderId="50" xfId="2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176" fontId="9" fillId="0" borderId="50" xfId="2" applyNumberFormat="1" applyFont="1" applyBorder="1" applyAlignment="1">
      <alignment horizontal="center" vertical="center"/>
    </xf>
    <xf numFmtId="176" fontId="9" fillId="0" borderId="43" xfId="2" applyNumberFormat="1" applyFont="1" applyBorder="1" applyAlignment="1">
      <alignment horizontal="center" vertical="center"/>
    </xf>
    <xf numFmtId="3" fontId="9" fillId="0" borderId="50" xfId="2" applyNumberFormat="1" applyFont="1" applyBorder="1" applyAlignment="1">
      <alignment horizontal="center" vertical="center"/>
    </xf>
    <xf numFmtId="3" fontId="9" fillId="0" borderId="43" xfId="2" applyNumberFormat="1" applyFont="1" applyBorder="1" applyAlignment="1">
      <alignment horizontal="center" vertical="center"/>
    </xf>
    <xf numFmtId="0" fontId="6" fillId="3" borderId="59" xfId="2" applyFont="1" applyFill="1" applyBorder="1" applyAlignment="1">
      <alignment horizontal="center" vertical="center"/>
    </xf>
    <xf numFmtId="0" fontId="6" fillId="3" borderId="62" xfId="2" applyFont="1" applyFill="1" applyBorder="1" applyAlignment="1">
      <alignment horizontal="center" vertical="center"/>
    </xf>
    <xf numFmtId="0" fontId="6" fillId="3" borderId="65" xfId="2" applyFont="1" applyFill="1" applyBorder="1" applyAlignment="1">
      <alignment horizontal="center" vertical="center"/>
    </xf>
    <xf numFmtId="0" fontId="11" fillId="3" borderId="60" xfId="2" applyFont="1" applyFill="1" applyBorder="1" applyAlignment="1">
      <alignment horizontal="center" vertical="center"/>
    </xf>
    <xf numFmtId="0" fontId="11" fillId="3" borderId="31" xfId="2" applyFont="1" applyFill="1" applyBorder="1" applyAlignment="1">
      <alignment horizontal="center" vertical="center"/>
    </xf>
    <xf numFmtId="0" fontId="13" fillId="0" borderId="59" xfId="3" applyBorder="1" applyAlignment="1">
      <alignment horizontal="center" vertical="center"/>
    </xf>
    <xf numFmtId="0" fontId="13" fillId="0" borderId="65" xfId="3" applyBorder="1" applyAlignment="1">
      <alignment horizontal="center" vertical="center"/>
    </xf>
    <xf numFmtId="0" fontId="9" fillId="0" borderId="60" xfId="3" applyFont="1" applyBorder="1" applyAlignment="1">
      <alignment horizontal="center" vertical="center"/>
    </xf>
    <xf numFmtId="0" fontId="9" fillId="0" borderId="66" xfId="3" applyFont="1" applyBorder="1" applyAlignment="1">
      <alignment horizontal="center" vertical="center"/>
    </xf>
    <xf numFmtId="0" fontId="9" fillId="0" borderId="105" xfId="3" applyFont="1" applyBorder="1" applyAlignment="1">
      <alignment horizontal="center" vertical="center"/>
    </xf>
    <xf numFmtId="0" fontId="9" fillId="0" borderId="106" xfId="3" applyFont="1" applyBorder="1" applyAlignment="1">
      <alignment horizontal="center" vertical="center"/>
    </xf>
    <xf numFmtId="0" fontId="9" fillId="0" borderId="107" xfId="3" applyFont="1" applyBorder="1" applyAlignment="1">
      <alignment horizontal="center" vertical="center"/>
    </xf>
    <xf numFmtId="0" fontId="13" fillId="0" borderId="60" xfId="3" applyBorder="1" applyAlignment="1">
      <alignment horizontal="center" vertical="center"/>
    </xf>
    <xf numFmtId="0" fontId="13" fillId="0" borderId="66" xfId="3" applyBorder="1" applyAlignment="1">
      <alignment horizontal="center" vertical="center"/>
    </xf>
    <xf numFmtId="0" fontId="13" fillId="0" borderId="105" xfId="3" applyBorder="1" applyAlignment="1">
      <alignment horizontal="center" vertical="center"/>
    </xf>
    <xf numFmtId="0" fontId="13" fillId="0" borderId="106" xfId="3" applyBorder="1" applyAlignment="1">
      <alignment horizontal="center" vertical="center"/>
    </xf>
    <xf numFmtId="0" fontId="13" fillId="0" borderId="107" xfId="3" applyBorder="1" applyAlignment="1">
      <alignment horizontal="center" vertical="center"/>
    </xf>
    <xf numFmtId="0" fontId="13" fillId="0" borderId="60" xfId="3" applyBorder="1" applyAlignment="1">
      <alignment horizontal="center" vertical="center" wrapText="1"/>
    </xf>
    <xf numFmtId="0" fontId="13" fillId="0" borderId="66" xfId="3" applyBorder="1" applyAlignment="1">
      <alignment horizontal="center" vertical="center" wrapText="1"/>
    </xf>
  </cellXfs>
  <cellStyles count="9">
    <cellStyle name="パーセント" xfId="5" builtinId="5"/>
    <cellStyle name="パーセント 2" xfId="8" xr:uid="{D46FA37B-599E-4C19-BA31-99CBEF033ED1}"/>
    <cellStyle name="桁区切り 3" xfId="7" xr:uid="{CA448A41-6AE2-4455-8C48-DE5E97F9FCBB}"/>
    <cellStyle name="標準" xfId="0" builtinId="0"/>
    <cellStyle name="標準 2" xfId="1" xr:uid="{B5454749-CEA0-4F97-90A6-4422054C829B}"/>
    <cellStyle name="標準 2 2 2" xfId="2" xr:uid="{F0026764-2840-4A51-BE84-3609B8AF03A7}"/>
    <cellStyle name="標準 3" xfId="6" xr:uid="{0C956696-BC54-4FD4-B182-8162291F4C44}"/>
    <cellStyle name="標準_産廃処理表(亀山中学校屋外運動場）" xfId="3" xr:uid="{91B0212F-8632-441B-88BB-66AFC87FC005}"/>
    <cellStyle name="標準_電線・ｹｰﾌﾞﾙ撤去" xfId="4" xr:uid="{1082CF62-8052-49EE-9582-A6254520E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269;&#20816;&#23398;&#22290;\&#19977;&#37325;&#30475;&#35703;&#27010;&#3163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_boss\c\&#20869;&#35379;&#26360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5079;&#21512;&#21336;&#20385;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5373;&#35336;&#26360;\&#30000;&#20013;\&#30495;&#24237;&#22320;&#21306;&#22534;&#32933;&#12475;&#12531;&#12479;&#12540;&#35373;&#353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_boss\c\My%20Documents\&#25480;&#29987;&#29031;&#6529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_boss\c\My%20Documents\&#25480;&#29987;&#29031;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5480;&#29987;&#29031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5480;&#29987;&#29031;&#652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ZATU\&#65396;&#65400;&#65406;&#65433;\&#20234;&#20445;&#23567;&#21442;&#32771;\&#35079;&#21512;&#21336;&#20385;&#34920;(&#38651;&#32218;&#31649;&#65405;&#65394;&#65391;&#65409;&#20182;&#21508;&#31278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ia\sisetu\My%20Documents\15&#24180;&#24037;&#20107;\&#22885;&#27941;&#20986;&#24373;&#25152;&#31227;&#36578;&#25913;&#31689;&#24037;&#20107;\&#31459;&#24037;&#35373;&#35336;&#26360;\&#35373;&#35336;&#26360;\&#31309;&#31639;\&#30000;&#20013;\&#30495;&#24237;&#22320;&#21306;&#22534;&#32933;&#12475;&#12531;&#12479;&#12540;&#35373;&#353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076;&#36027;&#35336;&#31639;&#34920;%20ver4.WK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65419;&#65390;&#65385;&#65401;&#65394;&#65403;&#65437;\NOUSO\SAKA\&#22338;&#30010;H12\&#38632;&#27700;&#25490;&#27700;\&#38632;&#27700;&#31649;&#28192;&#26448;&#2600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setsu1\&#26045;&#35373;&#20849;&#36890;\&#65396;&#65434;&#65421;&#65438;&#65392;&#65408;&#65392;\&#31309;&#31639;&#38306;&#20418;\EV&#20869;&#35379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_boss\c\&#35079;&#21512;&#21336;&#20385;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_boss\c\&#31038;&#23429;&#65423;&#65400;&#6543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5079;&#21512;&#21336;&#203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仮設躯体"/>
      <sheetName val="外壁面積"/>
      <sheetName val="外部"/>
      <sheetName val="室内"/>
      <sheetName val="内部"/>
      <sheetName val="外構"/>
      <sheetName val="解体"/>
      <sheetName val="単価閲覧"/>
      <sheetName val="付帯"/>
      <sheetName val="ﾁｪｯｸ"/>
      <sheetName val="内訳"/>
      <sheetName val="比較"/>
      <sheetName val="比較 (2)"/>
      <sheetName val="改修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definedNames>
      <definedName name="コントロｰ・"/>
      <definedName name="項目選択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1"/>
    </sheetNames>
    <definedNames>
      <definedName name="IV電線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 頭"/>
      <sheetName val="内訳"/>
      <sheetName val="集計"/>
      <sheetName val="FUKUTAN1"/>
      <sheetName val="比較"/>
      <sheetName val="比較 (2)"/>
      <sheetName val="配電盤"/>
      <sheetName val="土工事"/>
      <sheetName val="代価表"/>
      <sheetName val="屋内一般"/>
      <sheetName val="屋外架空"/>
      <sheetName val="屋外埋設"/>
      <sheetName val="屋外排水"/>
      <sheetName val="配管付属品"/>
      <sheetName val="撤去"/>
      <sheetName val="拾い"/>
      <sheetName val="面積"/>
      <sheetName val="TD-DE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器具ｺｰﾄﾞ"/>
      <sheetName val="照明率１"/>
      <sheetName val="照明率２"/>
      <sheetName val="授産照１"/>
    </sheetNames>
    <definedNames>
      <definedName name="機種"/>
      <definedName name="光束"/>
      <definedName name="指数"/>
      <definedName name="指数コｰド"/>
      <definedName name="成績"/>
    </definedNames>
    <sheetDataSet>
      <sheetData sheetId="0"/>
      <sheetData sheetId="1">
        <row r="4">
          <cell r="B4">
            <v>0.28000000000000003</v>
          </cell>
          <cell r="C4">
            <v>0.28000000000000003</v>
          </cell>
          <cell r="D4">
            <v>0.31</v>
          </cell>
          <cell r="E4">
            <v>0.31</v>
          </cell>
          <cell r="F4">
            <v>0.31</v>
          </cell>
          <cell r="G4">
            <v>0.28999999999999998</v>
          </cell>
          <cell r="H4">
            <v>0.28999999999999998</v>
          </cell>
          <cell r="I4">
            <v>0.31</v>
          </cell>
          <cell r="J4">
            <v>0.31</v>
          </cell>
          <cell r="K4">
            <v>0.36</v>
          </cell>
          <cell r="L4">
            <v>0.31</v>
          </cell>
          <cell r="M4">
            <v>0.31</v>
          </cell>
          <cell r="N4">
            <v>0.36</v>
          </cell>
          <cell r="O4">
            <v>0.34</v>
          </cell>
          <cell r="P4">
            <v>0.34</v>
          </cell>
          <cell r="Q4">
            <v>0.24</v>
          </cell>
          <cell r="R4">
            <v>0.3</v>
          </cell>
          <cell r="S4">
            <v>0.22</v>
          </cell>
          <cell r="T4">
            <v>0.31</v>
          </cell>
          <cell r="U4">
            <v>0.25</v>
          </cell>
          <cell r="V4">
            <v>0.27</v>
          </cell>
          <cell r="W4">
            <v>0.27</v>
          </cell>
          <cell r="X4">
            <v>0.23</v>
          </cell>
          <cell r="Y4">
            <v>0.26</v>
          </cell>
          <cell r="Z4">
            <v>0.26</v>
          </cell>
          <cell r="AA4">
            <v>0.23</v>
          </cell>
          <cell r="AB4">
            <v>0.22</v>
          </cell>
          <cell r="AC4">
            <v>0.21</v>
          </cell>
          <cell r="AD4">
            <v>0.34</v>
          </cell>
          <cell r="AE4">
            <v>0.33</v>
          </cell>
          <cell r="AF4">
            <v>0.34</v>
          </cell>
          <cell r="AG4">
            <v>0.34</v>
          </cell>
          <cell r="AH4">
            <v>0.33</v>
          </cell>
          <cell r="AI4">
            <v>0.32</v>
          </cell>
          <cell r="AJ4">
            <v>0.28000000000000003</v>
          </cell>
          <cell r="AK4">
            <v>0.28999999999999998</v>
          </cell>
          <cell r="AL4">
            <v>0.3</v>
          </cell>
          <cell r="AM4">
            <v>0.3</v>
          </cell>
          <cell r="AN4">
            <v>0.2</v>
          </cell>
          <cell r="AO4">
            <v>0.2</v>
          </cell>
          <cell r="AP4">
            <v>0.25</v>
          </cell>
          <cell r="AQ4">
            <v>0.27</v>
          </cell>
          <cell r="AR4">
            <v>0.21</v>
          </cell>
          <cell r="AS4">
            <v>0.21</v>
          </cell>
          <cell r="AT4">
            <v>0.22</v>
          </cell>
          <cell r="AU4">
            <v>0.22</v>
          </cell>
          <cell r="AV4">
            <v>0.22</v>
          </cell>
          <cell r="AW4">
            <v>0.22</v>
          </cell>
          <cell r="AX4">
            <v>0.33</v>
          </cell>
          <cell r="AY4">
            <v>0.33</v>
          </cell>
          <cell r="AZ4">
            <v>0.33</v>
          </cell>
          <cell r="BA4">
            <v>0.33</v>
          </cell>
          <cell r="BB4">
            <v>0.32</v>
          </cell>
          <cell r="BC4">
            <v>0.3</v>
          </cell>
          <cell r="BD4">
            <v>0.3</v>
          </cell>
          <cell r="BE4">
            <v>0.28999999999999998</v>
          </cell>
          <cell r="BF4">
            <v>0.33</v>
          </cell>
          <cell r="BG4">
            <v>0.33</v>
          </cell>
        </row>
        <row r="5">
          <cell r="B5">
            <v>0.35</v>
          </cell>
          <cell r="C5">
            <v>0.35</v>
          </cell>
          <cell r="D5">
            <v>0.39</v>
          </cell>
          <cell r="E5">
            <v>0.39</v>
          </cell>
          <cell r="F5">
            <v>0.39</v>
          </cell>
          <cell r="G5">
            <v>0.36</v>
          </cell>
          <cell r="H5">
            <v>0.36</v>
          </cell>
          <cell r="I5">
            <v>0.4</v>
          </cell>
          <cell r="J5">
            <v>0.4</v>
          </cell>
          <cell r="K5">
            <v>0.46</v>
          </cell>
          <cell r="L5">
            <v>0.4</v>
          </cell>
          <cell r="M5">
            <v>0.4</v>
          </cell>
          <cell r="N5">
            <v>0.46</v>
          </cell>
          <cell r="O5">
            <v>0.42</v>
          </cell>
          <cell r="P5">
            <v>0.41</v>
          </cell>
          <cell r="Q5">
            <v>0.28000000000000003</v>
          </cell>
          <cell r="R5">
            <v>0.35</v>
          </cell>
          <cell r="S5">
            <v>0.28000000000000003</v>
          </cell>
          <cell r="T5">
            <v>0.38</v>
          </cell>
          <cell r="U5">
            <v>0.32</v>
          </cell>
          <cell r="V5">
            <v>0.32</v>
          </cell>
          <cell r="W5">
            <v>0.34</v>
          </cell>
          <cell r="X5">
            <v>0.28000000000000003</v>
          </cell>
          <cell r="Y5">
            <v>0.32</v>
          </cell>
          <cell r="Z5">
            <v>0.33</v>
          </cell>
          <cell r="AA5">
            <v>0.28000000000000003</v>
          </cell>
          <cell r="AB5">
            <v>0.27</v>
          </cell>
          <cell r="AC5">
            <v>0.26</v>
          </cell>
          <cell r="AD5">
            <v>0.41</v>
          </cell>
          <cell r="AE5">
            <v>0.42</v>
          </cell>
          <cell r="AF5">
            <v>0.41</v>
          </cell>
          <cell r="AG5">
            <v>0.4</v>
          </cell>
          <cell r="AH5">
            <v>0.4</v>
          </cell>
          <cell r="AI5">
            <v>0.38</v>
          </cell>
          <cell r="AJ5">
            <v>0.32</v>
          </cell>
          <cell r="AK5">
            <v>0.35</v>
          </cell>
          <cell r="AL5">
            <v>0.38</v>
          </cell>
          <cell r="AM5">
            <v>0.37</v>
          </cell>
          <cell r="AN5">
            <v>0.24</v>
          </cell>
          <cell r="AO5">
            <v>0.25</v>
          </cell>
          <cell r="AP5">
            <v>0.3</v>
          </cell>
          <cell r="AQ5">
            <v>0.32</v>
          </cell>
          <cell r="AR5">
            <v>0.26</v>
          </cell>
          <cell r="AS5">
            <v>0.26</v>
          </cell>
          <cell r="AT5">
            <v>0.26</v>
          </cell>
          <cell r="AU5">
            <v>0.26</v>
          </cell>
          <cell r="AV5">
            <v>0.26</v>
          </cell>
          <cell r="AW5">
            <v>0.26</v>
          </cell>
          <cell r="AX5">
            <v>0.41</v>
          </cell>
          <cell r="AY5">
            <v>0.41</v>
          </cell>
          <cell r="AZ5">
            <v>0.41</v>
          </cell>
          <cell r="BA5">
            <v>0.41</v>
          </cell>
          <cell r="BB5">
            <v>0.39</v>
          </cell>
          <cell r="BC5">
            <v>0.36</v>
          </cell>
          <cell r="BD5">
            <v>0.35</v>
          </cell>
          <cell r="BE5">
            <v>0.34</v>
          </cell>
          <cell r="BF5">
            <v>0.39</v>
          </cell>
          <cell r="BG5">
            <v>0.38</v>
          </cell>
        </row>
        <row r="6">
          <cell r="B6">
            <v>0.4</v>
          </cell>
          <cell r="C6">
            <v>0.4</v>
          </cell>
          <cell r="D6">
            <v>0.44</v>
          </cell>
          <cell r="E6">
            <v>0.44</v>
          </cell>
          <cell r="F6">
            <v>0.44</v>
          </cell>
          <cell r="G6">
            <v>0.41</v>
          </cell>
          <cell r="H6">
            <v>0.41</v>
          </cell>
          <cell r="I6">
            <v>0.44</v>
          </cell>
          <cell r="J6">
            <v>0.44</v>
          </cell>
          <cell r="K6">
            <v>0.52</v>
          </cell>
          <cell r="L6">
            <v>0.44</v>
          </cell>
          <cell r="M6">
            <v>0.44</v>
          </cell>
          <cell r="N6">
            <v>0.52</v>
          </cell>
          <cell r="O6">
            <v>0.48</v>
          </cell>
          <cell r="P6">
            <v>0.48</v>
          </cell>
          <cell r="Q6">
            <v>0.32</v>
          </cell>
          <cell r="R6">
            <v>0.4</v>
          </cell>
          <cell r="S6">
            <v>0.31</v>
          </cell>
          <cell r="T6">
            <v>0.41</v>
          </cell>
          <cell r="U6">
            <v>0.36</v>
          </cell>
          <cell r="V6">
            <v>0.37</v>
          </cell>
          <cell r="W6">
            <v>0.38</v>
          </cell>
          <cell r="X6">
            <v>0.3</v>
          </cell>
          <cell r="Y6">
            <v>0.36</v>
          </cell>
          <cell r="Z6">
            <v>0.37</v>
          </cell>
          <cell r="AA6">
            <v>0.3</v>
          </cell>
          <cell r="AB6">
            <v>0.3</v>
          </cell>
          <cell r="AC6">
            <v>0.28999999999999998</v>
          </cell>
          <cell r="AD6">
            <v>0.46</v>
          </cell>
          <cell r="AE6">
            <v>0.47</v>
          </cell>
          <cell r="AF6">
            <v>0.45</v>
          </cell>
          <cell r="AG6">
            <v>0.44</v>
          </cell>
          <cell r="AH6">
            <v>0.44</v>
          </cell>
          <cell r="AI6">
            <v>0.42</v>
          </cell>
          <cell r="AJ6">
            <v>0.36</v>
          </cell>
          <cell r="AK6">
            <v>0.38</v>
          </cell>
          <cell r="AL6">
            <v>0.42</v>
          </cell>
          <cell r="AM6">
            <v>0.41</v>
          </cell>
          <cell r="AN6">
            <v>0.27</v>
          </cell>
          <cell r="AO6">
            <v>0.28000000000000003</v>
          </cell>
          <cell r="AP6">
            <v>0.33</v>
          </cell>
          <cell r="AQ6">
            <v>0.35</v>
          </cell>
          <cell r="AR6">
            <v>0.28999999999999998</v>
          </cell>
          <cell r="AS6">
            <v>0.28999999999999998</v>
          </cell>
          <cell r="AT6">
            <v>0.3</v>
          </cell>
          <cell r="AU6">
            <v>0.3</v>
          </cell>
          <cell r="AV6">
            <v>0.3</v>
          </cell>
          <cell r="AW6">
            <v>0.3</v>
          </cell>
          <cell r="AX6">
            <v>0.46</v>
          </cell>
          <cell r="AY6">
            <v>0.46</v>
          </cell>
          <cell r="AZ6">
            <v>0.46</v>
          </cell>
          <cell r="BA6">
            <v>0.46</v>
          </cell>
          <cell r="BB6">
            <v>0.42</v>
          </cell>
          <cell r="BC6">
            <v>0.41</v>
          </cell>
          <cell r="BD6">
            <v>0.39</v>
          </cell>
          <cell r="BE6">
            <v>0.39</v>
          </cell>
          <cell r="BF6">
            <v>0.44</v>
          </cell>
          <cell r="BG6">
            <v>0.43</v>
          </cell>
        </row>
        <row r="7">
          <cell r="B7">
            <v>0.44</v>
          </cell>
          <cell r="C7">
            <v>0.45</v>
          </cell>
          <cell r="D7">
            <v>0.5</v>
          </cell>
          <cell r="E7">
            <v>0.5</v>
          </cell>
          <cell r="F7">
            <v>0.5</v>
          </cell>
          <cell r="G7">
            <v>0.45</v>
          </cell>
          <cell r="H7">
            <v>0.45</v>
          </cell>
          <cell r="I7">
            <v>0.5</v>
          </cell>
          <cell r="J7">
            <v>0.5</v>
          </cell>
          <cell r="K7">
            <v>0.57999999999999996</v>
          </cell>
          <cell r="L7">
            <v>0.5</v>
          </cell>
          <cell r="M7">
            <v>0.5</v>
          </cell>
          <cell r="N7">
            <v>0.57999999999999996</v>
          </cell>
          <cell r="O7">
            <v>0.54</v>
          </cell>
          <cell r="P7">
            <v>0.54</v>
          </cell>
          <cell r="Q7">
            <v>0.37</v>
          </cell>
          <cell r="R7">
            <v>0.45</v>
          </cell>
          <cell r="S7">
            <v>0.34</v>
          </cell>
          <cell r="T7">
            <v>0.45</v>
          </cell>
          <cell r="U7">
            <v>0.4</v>
          </cell>
          <cell r="V7">
            <v>0.39</v>
          </cell>
          <cell r="W7">
            <v>0.42</v>
          </cell>
          <cell r="X7">
            <v>0.33</v>
          </cell>
          <cell r="Y7">
            <v>0.38</v>
          </cell>
          <cell r="Z7">
            <v>0.41</v>
          </cell>
          <cell r="AA7">
            <v>0.32</v>
          </cell>
          <cell r="AB7">
            <v>0.34</v>
          </cell>
          <cell r="AC7">
            <v>0.32</v>
          </cell>
          <cell r="AD7">
            <v>0.54</v>
          </cell>
          <cell r="AE7">
            <v>0.52</v>
          </cell>
          <cell r="AF7">
            <v>0.48</v>
          </cell>
          <cell r="AG7">
            <v>0.48</v>
          </cell>
          <cell r="AH7">
            <v>0.47</v>
          </cell>
          <cell r="AI7">
            <v>0.45</v>
          </cell>
          <cell r="AJ7">
            <v>0.4</v>
          </cell>
          <cell r="AK7">
            <v>0.41</v>
          </cell>
          <cell r="AL7">
            <v>0.47</v>
          </cell>
          <cell r="AM7">
            <v>0.46</v>
          </cell>
          <cell r="AN7">
            <v>0.3</v>
          </cell>
          <cell r="AO7">
            <v>0.31</v>
          </cell>
          <cell r="AP7">
            <v>0.36</v>
          </cell>
          <cell r="AQ7">
            <v>0.38</v>
          </cell>
          <cell r="AR7">
            <v>0.32</v>
          </cell>
          <cell r="AS7">
            <v>0.33</v>
          </cell>
          <cell r="AT7">
            <v>0.34</v>
          </cell>
          <cell r="AU7">
            <v>0.34</v>
          </cell>
          <cell r="AV7">
            <v>0.34</v>
          </cell>
          <cell r="AW7">
            <v>0.34</v>
          </cell>
          <cell r="AX7">
            <v>0.51</v>
          </cell>
          <cell r="AY7">
            <v>0.51</v>
          </cell>
          <cell r="AZ7">
            <v>0.51</v>
          </cell>
          <cell r="BA7">
            <v>0.51</v>
          </cell>
          <cell r="BB7">
            <v>0.45</v>
          </cell>
          <cell r="BC7">
            <v>0.45</v>
          </cell>
          <cell r="BD7">
            <v>0.42</v>
          </cell>
          <cell r="BE7">
            <v>0.43</v>
          </cell>
          <cell r="BF7">
            <v>0.49</v>
          </cell>
          <cell r="BG7">
            <v>0.48</v>
          </cell>
        </row>
        <row r="8">
          <cell r="B8">
            <v>0.48</v>
          </cell>
          <cell r="C8">
            <v>0.48</v>
          </cell>
          <cell r="D8">
            <v>0.54</v>
          </cell>
          <cell r="E8">
            <v>0.54</v>
          </cell>
          <cell r="F8">
            <v>0.54</v>
          </cell>
          <cell r="G8">
            <v>0.5</v>
          </cell>
          <cell r="H8">
            <v>0.5</v>
          </cell>
          <cell r="I8">
            <v>0.54</v>
          </cell>
          <cell r="J8">
            <v>0.54</v>
          </cell>
          <cell r="K8">
            <v>0.63</v>
          </cell>
          <cell r="L8">
            <v>0.54</v>
          </cell>
          <cell r="M8">
            <v>0.54</v>
          </cell>
          <cell r="N8">
            <v>0.63</v>
          </cell>
          <cell r="O8">
            <v>0.57999999999999996</v>
          </cell>
          <cell r="P8">
            <v>0.57999999999999996</v>
          </cell>
          <cell r="Q8">
            <v>0.39</v>
          </cell>
          <cell r="R8">
            <v>0.47</v>
          </cell>
          <cell r="S8">
            <v>0.36</v>
          </cell>
          <cell r="T8">
            <v>0.48</v>
          </cell>
          <cell r="U8">
            <v>0.43</v>
          </cell>
          <cell r="V8">
            <v>0.42</v>
          </cell>
          <cell r="W8">
            <v>0.45</v>
          </cell>
          <cell r="X8">
            <v>0.35</v>
          </cell>
          <cell r="Y8">
            <v>0.41</v>
          </cell>
          <cell r="Z8">
            <v>0.44</v>
          </cell>
          <cell r="AA8">
            <v>0.34</v>
          </cell>
          <cell r="AB8">
            <v>0.36</v>
          </cell>
          <cell r="AC8">
            <v>0.34</v>
          </cell>
          <cell r="AD8">
            <v>0.57999999999999996</v>
          </cell>
          <cell r="AE8">
            <v>0.56000000000000005</v>
          </cell>
          <cell r="AF8">
            <v>0.5</v>
          </cell>
          <cell r="AG8">
            <v>0.5</v>
          </cell>
          <cell r="AH8">
            <v>0.5</v>
          </cell>
          <cell r="AI8">
            <v>0.47</v>
          </cell>
          <cell r="AJ8">
            <v>0.42</v>
          </cell>
          <cell r="AK8">
            <v>0.43</v>
          </cell>
          <cell r="AL8">
            <v>0.5</v>
          </cell>
          <cell r="AM8">
            <v>0.49</v>
          </cell>
          <cell r="AN8">
            <v>0.32</v>
          </cell>
          <cell r="AO8">
            <v>0.33</v>
          </cell>
          <cell r="AP8">
            <v>0.38</v>
          </cell>
          <cell r="AQ8">
            <v>0.4</v>
          </cell>
          <cell r="AR8">
            <v>0.34</v>
          </cell>
          <cell r="AS8">
            <v>0.36</v>
          </cell>
          <cell r="AT8">
            <v>0.37</v>
          </cell>
          <cell r="AU8">
            <v>0.37</v>
          </cell>
          <cell r="AV8">
            <v>0.37</v>
          </cell>
          <cell r="AW8">
            <v>0.37</v>
          </cell>
          <cell r="AX8">
            <v>0.54</v>
          </cell>
          <cell r="AY8">
            <v>0.54</v>
          </cell>
          <cell r="AZ8">
            <v>0.54</v>
          </cell>
          <cell r="BA8">
            <v>0.54</v>
          </cell>
          <cell r="BB8">
            <v>0.48</v>
          </cell>
          <cell r="BC8">
            <v>0.48</v>
          </cell>
          <cell r="BD8">
            <v>0.45</v>
          </cell>
          <cell r="BE8">
            <v>0.45</v>
          </cell>
          <cell r="BF8">
            <v>0.52</v>
          </cell>
          <cell r="BG8">
            <v>0.51</v>
          </cell>
        </row>
        <row r="9">
          <cell r="B9">
            <v>0.54</v>
          </cell>
          <cell r="C9">
            <v>0.55000000000000004</v>
          </cell>
          <cell r="D9">
            <v>0.59</v>
          </cell>
          <cell r="E9">
            <v>0.59</v>
          </cell>
          <cell r="F9">
            <v>0.59</v>
          </cell>
          <cell r="G9">
            <v>0.55000000000000004</v>
          </cell>
          <cell r="H9">
            <v>0.55000000000000004</v>
          </cell>
          <cell r="I9">
            <v>0.59</v>
          </cell>
          <cell r="J9">
            <v>0.59</v>
          </cell>
          <cell r="K9">
            <v>0.7</v>
          </cell>
          <cell r="L9">
            <v>0.59</v>
          </cell>
          <cell r="M9">
            <v>0.59</v>
          </cell>
          <cell r="N9">
            <v>0.7</v>
          </cell>
          <cell r="O9">
            <v>0.65</v>
          </cell>
          <cell r="P9">
            <v>0.64</v>
          </cell>
          <cell r="Q9">
            <v>0.43</v>
          </cell>
          <cell r="R9">
            <v>0.51</v>
          </cell>
          <cell r="S9">
            <v>0.4</v>
          </cell>
          <cell r="T9">
            <v>0.52</v>
          </cell>
          <cell r="U9">
            <v>0.48</v>
          </cell>
          <cell r="V9">
            <v>0.44</v>
          </cell>
          <cell r="W9">
            <v>0.48</v>
          </cell>
          <cell r="X9">
            <v>0.37</v>
          </cell>
          <cell r="Y9">
            <v>0.43</v>
          </cell>
          <cell r="Z9">
            <v>0.47</v>
          </cell>
          <cell r="AA9">
            <v>0.36</v>
          </cell>
          <cell r="AB9">
            <v>0.4</v>
          </cell>
          <cell r="AC9">
            <v>0.38</v>
          </cell>
          <cell r="AD9">
            <v>0.64</v>
          </cell>
          <cell r="AE9">
            <v>0.61</v>
          </cell>
          <cell r="AF9">
            <v>0.53</v>
          </cell>
          <cell r="AG9">
            <v>0.53</v>
          </cell>
          <cell r="AH9">
            <v>0.52</v>
          </cell>
          <cell r="AI9">
            <v>0.5</v>
          </cell>
          <cell r="AJ9">
            <v>0.46</v>
          </cell>
          <cell r="AK9">
            <v>0.46</v>
          </cell>
          <cell r="AL9">
            <v>0.54</v>
          </cell>
          <cell r="AM9">
            <v>0.53</v>
          </cell>
          <cell r="AN9">
            <v>0.35</v>
          </cell>
          <cell r="AO9">
            <v>0.36</v>
          </cell>
          <cell r="AP9">
            <v>0.41</v>
          </cell>
          <cell r="AQ9">
            <v>0.44</v>
          </cell>
          <cell r="AR9">
            <v>0.38</v>
          </cell>
          <cell r="AS9">
            <v>0.38</v>
          </cell>
          <cell r="AT9">
            <v>0.4</v>
          </cell>
          <cell r="AU9">
            <v>0.4</v>
          </cell>
          <cell r="AV9">
            <v>0.4</v>
          </cell>
          <cell r="AW9">
            <v>0.4</v>
          </cell>
          <cell r="AX9">
            <v>0.59</v>
          </cell>
          <cell r="AY9">
            <v>0.59</v>
          </cell>
          <cell r="AZ9">
            <v>0.59</v>
          </cell>
          <cell r="BA9">
            <v>0.59</v>
          </cell>
          <cell r="BB9">
            <v>0.51</v>
          </cell>
          <cell r="BC9">
            <v>0.52</v>
          </cell>
          <cell r="BD9">
            <v>0.48</v>
          </cell>
          <cell r="BE9">
            <v>0.49</v>
          </cell>
          <cell r="BF9">
            <v>0.56999999999999995</v>
          </cell>
          <cell r="BG9">
            <v>0.55000000000000004</v>
          </cell>
        </row>
        <row r="10">
          <cell r="B10">
            <v>0.56999999999999995</v>
          </cell>
          <cell r="C10">
            <v>0.59</v>
          </cell>
          <cell r="D10">
            <v>0.63</v>
          </cell>
          <cell r="E10">
            <v>0.63</v>
          </cell>
          <cell r="F10">
            <v>0.63</v>
          </cell>
          <cell r="G10">
            <v>0.59</v>
          </cell>
          <cell r="H10">
            <v>0.59</v>
          </cell>
          <cell r="I10">
            <v>0.63</v>
          </cell>
          <cell r="J10">
            <v>0.63</v>
          </cell>
          <cell r="K10">
            <v>0.73</v>
          </cell>
          <cell r="L10">
            <v>0.63</v>
          </cell>
          <cell r="M10">
            <v>0.63</v>
          </cell>
          <cell r="N10">
            <v>0.73</v>
          </cell>
          <cell r="O10">
            <v>0.59</v>
          </cell>
          <cell r="P10">
            <v>0.68</v>
          </cell>
          <cell r="Q10">
            <v>0.45</v>
          </cell>
          <cell r="R10">
            <v>0.54</v>
          </cell>
          <cell r="S10">
            <v>0.42</v>
          </cell>
          <cell r="T10">
            <v>0.54</v>
          </cell>
          <cell r="U10">
            <v>0.51</v>
          </cell>
          <cell r="V10">
            <v>0.46</v>
          </cell>
          <cell r="W10">
            <v>0.5</v>
          </cell>
          <cell r="X10">
            <v>0.39</v>
          </cell>
          <cell r="Y10">
            <v>0.45</v>
          </cell>
          <cell r="Z10">
            <v>0.49</v>
          </cell>
          <cell r="AA10">
            <v>0.38</v>
          </cell>
          <cell r="AB10">
            <v>0.42</v>
          </cell>
          <cell r="AC10">
            <v>0.4</v>
          </cell>
          <cell r="AD10">
            <v>0.68</v>
          </cell>
          <cell r="AE10">
            <v>0.64</v>
          </cell>
          <cell r="AF10">
            <v>0.55000000000000004</v>
          </cell>
          <cell r="AG10">
            <v>0.54</v>
          </cell>
          <cell r="AH10">
            <v>0.54</v>
          </cell>
          <cell r="AI10">
            <v>0.51</v>
          </cell>
          <cell r="AJ10">
            <v>0.48</v>
          </cell>
          <cell r="AK10">
            <v>0.48</v>
          </cell>
          <cell r="AL10">
            <v>0.56000000000000005</v>
          </cell>
          <cell r="AM10">
            <v>0.56000000000000005</v>
          </cell>
          <cell r="AN10">
            <v>0.37</v>
          </cell>
          <cell r="AO10">
            <v>0.38</v>
          </cell>
          <cell r="AP10">
            <v>0.43</v>
          </cell>
          <cell r="AQ10">
            <v>0.45</v>
          </cell>
          <cell r="AR10">
            <v>0.4</v>
          </cell>
          <cell r="AS10">
            <v>0.4</v>
          </cell>
          <cell r="AT10">
            <v>0.43</v>
          </cell>
          <cell r="AU10">
            <v>0.43</v>
          </cell>
          <cell r="AV10">
            <v>0.43</v>
          </cell>
          <cell r="AW10">
            <v>0.43</v>
          </cell>
          <cell r="AX10">
            <v>0.61</v>
          </cell>
          <cell r="AY10">
            <v>0.61</v>
          </cell>
          <cell r="AZ10">
            <v>0.61</v>
          </cell>
          <cell r="BA10">
            <v>0.61</v>
          </cell>
          <cell r="BB10">
            <v>0.54</v>
          </cell>
          <cell r="BC10">
            <v>0.54</v>
          </cell>
          <cell r="BD10">
            <v>0.5</v>
          </cell>
          <cell r="BE10">
            <v>0.51</v>
          </cell>
          <cell r="BF10">
            <v>0.6</v>
          </cell>
          <cell r="BG10">
            <v>0.57999999999999996</v>
          </cell>
        </row>
        <row r="11">
          <cell r="B11">
            <v>0.59</v>
          </cell>
          <cell r="C11">
            <v>0.62</v>
          </cell>
          <cell r="D11">
            <v>0.65</v>
          </cell>
          <cell r="E11">
            <v>0.65</v>
          </cell>
          <cell r="F11">
            <v>0.65</v>
          </cell>
          <cell r="G11">
            <v>0.61</v>
          </cell>
          <cell r="H11">
            <v>0.61</v>
          </cell>
          <cell r="I11">
            <v>0.66</v>
          </cell>
          <cell r="J11">
            <v>0.66</v>
          </cell>
          <cell r="K11">
            <v>0.77</v>
          </cell>
          <cell r="L11">
            <v>0.66</v>
          </cell>
          <cell r="M11">
            <v>0.66</v>
          </cell>
          <cell r="N11">
            <v>0.77</v>
          </cell>
          <cell r="O11">
            <v>0.72</v>
          </cell>
          <cell r="P11">
            <v>0.71</v>
          </cell>
          <cell r="Q11">
            <v>0.47</v>
          </cell>
          <cell r="R11">
            <v>0.55000000000000004</v>
          </cell>
          <cell r="S11">
            <v>0.44</v>
          </cell>
          <cell r="T11">
            <v>0.56000000000000005</v>
          </cell>
          <cell r="U11">
            <v>0.53</v>
          </cell>
          <cell r="V11">
            <v>0.47</v>
          </cell>
          <cell r="W11">
            <v>0.51</v>
          </cell>
          <cell r="X11">
            <v>0.4</v>
          </cell>
          <cell r="Y11">
            <v>0.46</v>
          </cell>
          <cell r="Z11">
            <v>0.5</v>
          </cell>
          <cell r="AA11">
            <v>0.4</v>
          </cell>
          <cell r="AB11">
            <v>0.44</v>
          </cell>
          <cell r="AC11">
            <v>0.42</v>
          </cell>
          <cell r="AD11">
            <v>0.7</v>
          </cell>
          <cell r="AE11">
            <v>0.67</v>
          </cell>
          <cell r="AF11">
            <v>0.56000000000000005</v>
          </cell>
          <cell r="AG11">
            <v>0.55000000000000004</v>
          </cell>
          <cell r="AH11">
            <v>0.55000000000000004</v>
          </cell>
          <cell r="AI11">
            <v>0.52</v>
          </cell>
          <cell r="AJ11">
            <v>0.49</v>
          </cell>
          <cell r="AK11">
            <v>0.49</v>
          </cell>
          <cell r="AL11">
            <v>0.57999999999999996</v>
          </cell>
          <cell r="AM11">
            <v>0.57999999999999996</v>
          </cell>
          <cell r="AN11">
            <v>0.39</v>
          </cell>
          <cell r="AO11">
            <v>0.4</v>
          </cell>
          <cell r="AP11">
            <v>0.44</v>
          </cell>
          <cell r="AQ11">
            <v>0.47</v>
          </cell>
          <cell r="AR11">
            <v>0.42</v>
          </cell>
          <cell r="AS11">
            <v>0.42</v>
          </cell>
          <cell r="AT11">
            <v>0.44</v>
          </cell>
          <cell r="AU11">
            <v>0.44</v>
          </cell>
          <cell r="AV11">
            <v>0.44</v>
          </cell>
          <cell r="AW11">
            <v>0.44</v>
          </cell>
          <cell r="AX11">
            <v>0.63</v>
          </cell>
          <cell r="AY11">
            <v>0.63</v>
          </cell>
          <cell r="AZ11">
            <v>0.63</v>
          </cell>
          <cell r="BA11">
            <v>0.63</v>
          </cell>
          <cell r="BB11">
            <v>0.55000000000000004</v>
          </cell>
          <cell r="BC11">
            <v>0.55000000000000004</v>
          </cell>
          <cell r="BD11">
            <v>0.51</v>
          </cell>
          <cell r="BE11">
            <v>0.53</v>
          </cell>
          <cell r="BF11">
            <v>0.61</v>
          </cell>
          <cell r="BG11">
            <v>0.6</v>
          </cell>
        </row>
        <row r="12">
          <cell r="B12">
            <v>0.64</v>
          </cell>
          <cell r="C12">
            <v>0.66</v>
          </cell>
          <cell r="D12">
            <v>0.69</v>
          </cell>
          <cell r="E12">
            <v>0.69</v>
          </cell>
          <cell r="F12">
            <v>0.69</v>
          </cell>
          <cell r="G12">
            <v>0.65</v>
          </cell>
          <cell r="H12">
            <v>0.65</v>
          </cell>
          <cell r="I12">
            <v>0.69</v>
          </cell>
          <cell r="J12">
            <v>0.69</v>
          </cell>
          <cell r="K12">
            <v>0.8</v>
          </cell>
          <cell r="L12">
            <v>0.69</v>
          </cell>
          <cell r="M12">
            <v>0.69</v>
          </cell>
          <cell r="N12">
            <v>0.8</v>
          </cell>
          <cell r="O12">
            <v>0.76</v>
          </cell>
          <cell r="P12">
            <v>0.75</v>
          </cell>
          <cell r="Q12">
            <v>0.49</v>
          </cell>
          <cell r="R12">
            <v>0.56999999999999995</v>
          </cell>
          <cell r="S12">
            <v>0.46</v>
          </cell>
          <cell r="T12">
            <v>0.59</v>
          </cell>
          <cell r="U12">
            <v>0.56000000000000005</v>
          </cell>
          <cell r="V12">
            <v>0.48</v>
          </cell>
          <cell r="W12">
            <v>0.53</v>
          </cell>
          <cell r="X12">
            <v>0.41</v>
          </cell>
          <cell r="Y12">
            <v>0.47</v>
          </cell>
          <cell r="Z12">
            <v>0.52</v>
          </cell>
          <cell r="AA12">
            <v>0.41</v>
          </cell>
          <cell r="AB12">
            <v>0.46</v>
          </cell>
          <cell r="AC12">
            <v>0.44</v>
          </cell>
          <cell r="AD12">
            <v>0.73</v>
          </cell>
          <cell r="AE12">
            <v>0.69</v>
          </cell>
          <cell r="AF12">
            <v>0.56999999999999995</v>
          </cell>
          <cell r="AG12">
            <v>0.56999999999999995</v>
          </cell>
          <cell r="AH12">
            <v>0.56999999999999995</v>
          </cell>
          <cell r="AI12">
            <v>0.54</v>
          </cell>
          <cell r="AJ12">
            <v>0.51</v>
          </cell>
          <cell r="AK12">
            <v>0.51</v>
          </cell>
          <cell r="AL12">
            <v>0.61</v>
          </cell>
          <cell r="AM12">
            <v>0.6</v>
          </cell>
          <cell r="AN12">
            <v>0.41</v>
          </cell>
          <cell r="AO12">
            <v>0.42</v>
          </cell>
          <cell r="AP12">
            <v>0.46</v>
          </cell>
          <cell r="AQ12">
            <v>0.49</v>
          </cell>
          <cell r="AR12">
            <v>0.44</v>
          </cell>
          <cell r="AS12">
            <v>0.44</v>
          </cell>
          <cell r="AT12">
            <v>0.46</v>
          </cell>
          <cell r="AU12">
            <v>0.46</v>
          </cell>
          <cell r="AV12">
            <v>0.46</v>
          </cell>
          <cell r="AW12">
            <v>0.46</v>
          </cell>
          <cell r="AX12">
            <v>0.66</v>
          </cell>
          <cell r="AY12">
            <v>0.66</v>
          </cell>
          <cell r="AZ12">
            <v>0.66</v>
          </cell>
          <cell r="BA12">
            <v>0.66</v>
          </cell>
          <cell r="BB12">
            <v>0.56999999999999995</v>
          </cell>
          <cell r="BC12">
            <v>0.56999999999999995</v>
          </cell>
          <cell r="BD12">
            <v>0.53</v>
          </cell>
          <cell r="BE12">
            <v>0.54</v>
          </cell>
          <cell r="BF12">
            <v>0.64</v>
          </cell>
          <cell r="BG12">
            <v>0.62</v>
          </cell>
        </row>
        <row r="13">
          <cell r="B13">
            <v>0.66</v>
          </cell>
          <cell r="C13">
            <v>0.67</v>
          </cell>
          <cell r="D13">
            <v>0.71</v>
          </cell>
          <cell r="E13">
            <v>0.71</v>
          </cell>
          <cell r="F13">
            <v>0.71</v>
          </cell>
          <cell r="G13">
            <v>0.68</v>
          </cell>
          <cell r="H13">
            <v>0.68</v>
          </cell>
          <cell r="I13">
            <v>0.71</v>
          </cell>
          <cell r="J13">
            <v>0.71</v>
          </cell>
          <cell r="K13">
            <v>0.82</v>
          </cell>
          <cell r="L13">
            <v>0.71</v>
          </cell>
          <cell r="M13">
            <v>0.71</v>
          </cell>
          <cell r="N13">
            <v>0.82</v>
          </cell>
          <cell r="O13">
            <v>0.78</v>
          </cell>
          <cell r="P13">
            <v>0.77</v>
          </cell>
          <cell r="Q13">
            <v>0.51</v>
          </cell>
          <cell r="R13">
            <v>0.59</v>
          </cell>
          <cell r="S13">
            <v>0.48</v>
          </cell>
          <cell r="T13">
            <v>0.6</v>
          </cell>
          <cell r="U13">
            <v>0.57999999999999996</v>
          </cell>
          <cell r="V13">
            <v>0.49</v>
          </cell>
          <cell r="W13">
            <v>0.54</v>
          </cell>
          <cell r="X13">
            <v>0.42</v>
          </cell>
          <cell r="Y13">
            <v>0.48</v>
          </cell>
          <cell r="Z13">
            <v>0.53</v>
          </cell>
          <cell r="AA13">
            <v>0.41</v>
          </cell>
          <cell r="AB13">
            <v>0.47</v>
          </cell>
          <cell r="AC13">
            <v>0.45</v>
          </cell>
          <cell r="AD13">
            <v>0.75</v>
          </cell>
          <cell r="AE13">
            <v>0.71</v>
          </cell>
          <cell r="AF13">
            <v>0.57999999999999996</v>
          </cell>
          <cell r="AG13">
            <v>0.57999999999999996</v>
          </cell>
          <cell r="AH13">
            <v>0.57999999999999996</v>
          </cell>
          <cell r="AI13">
            <v>0.54</v>
          </cell>
          <cell r="AJ13">
            <v>0.52</v>
          </cell>
          <cell r="AK13">
            <v>0.52</v>
          </cell>
          <cell r="AL13">
            <v>0.62</v>
          </cell>
          <cell r="AM13">
            <v>0.62</v>
          </cell>
          <cell r="AN13">
            <v>0.42</v>
          </cell>
          <cell r="AO13">
            <v>0.43</v>
          </cell>
          <cell r="AP13">
            <v>0.47</v>
          </cell>
          <cell r="AQ13">
            <v>0.5</v>
          </cell>
          <cell r="AR13">
            <v>0.46</v>
          </cell>
          <cell r="AS13">
            <v>0.45</v>
          </cell>
          <cell r="AT13">
            <v>0.48</v>
          </cell>
          <cell r="AU13">
            <v>0.48</v>
          </cell>
          <cell r="AV13">
            <v>0.48</v>
          </cell>
          <cell r="AW13">
            <v>0.48</v>
          </cell>
          <cell r="AX13">
            <v>0.68</v>
          </cell>
          <cell r="AY13">
            <v>0.68</v>
          </cell>
          <cell r="AZ13">
            <v>0.68</v>
          </cell>
          <cell r="BA13">
            <v>0.68</v>
          </cell>
          <cell r="BB13">
            <v>0.57999999999999996</v>
          </cell>
          <cell r="BC13">
            <v>0.59</v>
          </cell>
          <cell r="BD13">
            <v>0.54</v>
          </cell>
          <cell r="BE13">
            <v>0.55000000000000004</v>
          </cell>
          <cell r="BF13">
            <v>0.65</v>
          </cell>
          <cell r="BG13">
            <v>0.63</v>
          </cell>
        </row>
      </sheetData>
      <sheetData sheetId="2">
        <row r="4">
          <cell r="B4">
            <v>0.2</v>
          </cell>
          <cell r="C4">
            <v>0.21</v>
          </cell>
          <cell r="D4">
            <v>0.25</v>
          </cell>
          <cell r="E4">
            <v>0.25</v>
          </cell>
          <cell r="F4">
            <v>0.25</v>
          </cell>
          <cell r="G4">
            <v>0.21</v>
          </cell>
          <cell r="H4">
            <v>0.21</v>
          </cell>
          <cell r="U4">
            <v>0.2</v>
          </cell>
        </row>
        <row r="5">
          <cell r="B5">
            <v>0.26</v>
          </cell>
          <cell r="C5">
            <v>0.28000000000000003</v>
          </cell>
          <cell r="D5">
            <v>0.33</v>
          </cell>
          <cell r="E5">
            <v>0.33</v>
          </cell>
          <cell r="F5">
            <v>0.33</v>
          </cell>
          <cell r="G5">
            <v>0.27</v>
          </cell>
          <cell r="H5">
            <v>0.27</v>
          </cell>
          <cell r="U5">
            <v>0.26</v>
          </cell>
        </row>
        <row r="6">
          <cell r="B6">
            <v>0.3</v>
          </cell>
          <cell r="C6">
            <v>0.32</v>
          </cell>
          <cell r="D6">
            <v>0.38</v>
          </cell>
          <cell r="E6">
            <v>0.38</v>
          </cell>
          <cell r="F6">
            <v>0.38</v>
          </cell>
          <cell r="G6">
            <v>0.31</v>
          </cell>
          <cell r="H6">
            <v>0.31</v>
          </cell>
          <cell r="U6">
            <v>0.3</v>
          </cell>
        </row>
        <row r="7">
          <cell r="B7">
            <v>0.34</v>
          </cell>
          <cell r="C7">
            <v>0.36</v>
          </cell>
          <cell r="D7">
            <v>0.44</v>
          </cell>
          <cell r="E7">
            <v>0.44</v>
          </cell>
          <cell r="F7">
            <v>0.44</v>
          </cell>
          <cell r="G7">
            <v>0.36</v>
          </cell>
          <cell r="H7">
            <v>0.36</v>
          </cell>
          <cell r="U7">
            <v>0.34</v>
          </cell>
        </row>
        <row r="8">
          <cell r="B8">
            <v>0.38</v>
          </cell>
          <cell r="C8">
            <v>0.4</v>
          </cell>
          <cell r="D8">
            <v>0.48</v>
          </cell>
          <cell r="E8">
            <v>0.48</v>
          </cell>
          <cell r="F8">
            <v>0.48</v>
          </cell>
          <cell r="G8">
            <v>0.4</v>
          </cell>
          <cell r="H8">
            <v>0.4</v>
          </cell>
          <cell r="U8">
            <v>0.37</v>
          </cell>
        </row>
        <row r="9">
          <cell r="B9">
            <v>0.43</v>
          </cell>
          <cell r="C9">
            <v>0.47</v>
          </cell>
          <cell r="D9">
            <v>0.54</v>
          </cell>
          <cell r="E9">
            <v>0.54</v>
          </cell>
          <cell r="F9">
            <v>0.54</v>
          </cell>
          <cell r="G9">
            <v>0.45</v>
          </cell>
          <cell r="H9">
            <v>0.45</v>
          </cell>
          <cell r="U9">
            <v>0.42</v>
          </cell>
        </row>
        <row r="10">
          <cell r="B10">
            <v>0.47</v>
          </cell>
          <cell r="C10">
            <v>0.5</v>
          </cell>
          <cell r="D10">
            <v>0.57999999999999996</v>
          </cell>
          <cell r="E10">
            <v>0.57999999999999996</v>
          </cell>
          <cell r="F10">
            <v>0.57999999999999996</v>
          </cell>
          <cell r="G10">
            <v>0.5</v>
          </cell>
          <cell r="H10">
            <v>0.5</v>
          </cell>
          <cell r="U10">
            <v>0.46</v>
          </cell>
        </row>
        <row r="11">
          <cell r="B11">
            <v>0.5</v>
          </cell>
          <cell r="C11">
            <v>0.53</v>
          </cell>
          <cell r="D11">
            <v>0.61</v>
          </cell>
          <cell r="E11">
            <v>0.61</v>
          </cell>
          <cell r="F11">
            <v>0.61</v>
          </cell>
          <cell r="G11">
            <v>0.52</v>
          </cell>
          <cell r="H11">
            <v>0.52</v>
          </cell>
          <cell r="U11">
            <v>0.48</v>
          </cell>
        </row>
        <row r="12">
          <cell r="B12">
            <v>0.54</v>
          </cell>
          <cell r="C12">
            <v>0.57999999999999996</v>
          </cell>
          <cell r="D12">
            <v>0.65</v>
          </cell>
          <cell r="E12">
            <v>0.65</v>
          </cell>
          <cell r="F12">
            <v>0.65</v>
          </cell>
          <cell r="G12">
            <v>0.56000000000000005</v>
          </cell>
          <cell r="H12">
            <v>0.56000000000000005</v>
          </cell>
          <cell r="U12">
            <v>0.52</v>
          </cell>
        </row>
        <row r="13">
          <cell r="B13">
            <v>0.56999999999999995</v>
          </cell>
          <cell r="C13">
            <v>0.61</v>
          </cell>
          <cell r="D13">
            <v>0.67</v>
          </cell>
          <cell r="E13">
            <v>0.67</v>
          </cell>
          <cell r="F13">
            <v>0.67</v>
          </cell>
          <cell r="G13">
            <v>0.59</v>
          </cell>
          <cell r="H13">
            <v>0.59</v>
          </cell>
          <cell r="U13">
            <v>0.54</v>
          </cell>
        </row>
      </sheetData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器具ｺｰﾄﾞ"/>
      <sheetName val="照明率１"/>
      <sheetName val="照明率２"/>
      <sheetName val="授産照2"/>
    </sheetNames>
    <definedNames>
      <definedName name="機種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器具ｺｰﾄﾞ"/>
      <sheetName val="照明率１"/>
      <sheetName val="照明率２"/>
      <sheetName val="授産照2"/>
    </sheetNames>
    <definedNames>
      <definedName name="機種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器具ｺｰﾄﾞ"/>
      <sheetName val="照明率１"/>
      <sheetName val="照明率２"/>
      <sheetName val="授産照１"/>
    </sheetNames>
    <sheetDataSet>
      <sheetData sheetId="0"/>
      <sheetData sheetId="1">
        <row r="4">
          <cell r="B4">
            <v>0.28000000000000003</v>
          </cell>
        </row>
      </sheetData>
      <sheetData sheetId="2">
        <row r="4">
          <cell r="B4">
            <v>0.2</v>
          </cell>
          <cell r="C4">
            <v>0.21</v>
          </cell>
          <cell r="D4">
            <v>0.25</v>
          </cell>
          <cell r="E4">
            <v>0.25</v>
          </cell>
          <cell r="F4">
            <v>0.25</v>
          </cell>
          <cell r="G4">
            <v>0.21</v>
          </cell>
          <cell r="H4">
            <v>0.21</v>
          </cell>
          <cell r="U4">
            <v>0.2</v>
          </cell>
        </row>
        <row r="5">
          <cell r="B5">
            <v>0.26</v>
          </cell>
          <cell r="C5">
            <v>0.28000000000000003</v>
          </cell>
          <cell r="D5">
            <v>0.33</v>
          </cell>
          <cell r="E5">
            <v>0.33</v>
          </cell>
          <cell r="F5">
            <v>0.33</v>
          </cell>
          <cell r="G5">
            <v>0.27</v>
          </cell>
          <cell r="H5">
            <v>0.27</v>
          </cell>
          <cell r="U5">
            <v>0.26</v>
          </cell>
        </row>
        <row r="6">
          <cell r="B6">
            <v>0.3</v>
          </cell>
          <cell r="C6">
            <v>0.32</v>
          </cell>
          <cell r="D6">
            <v>0.38</v>
          </cell>
          <cell r="E6">
            <v>0.38</v>
          </cell>
          <cell r="F6">
            <v>0.38</v>
          </cell>
          <cell r="G6">
            <v>0.31</v>
          </cell>
          <cell r="H6">
            <v>0.31</v>
          </cell>
          <cell r="U6">
            <v>0.3</v>
          </cell>
        </row>
        <row r="7">
          <cell r="B7">
            <v>0.34</v>
          </cell>
          <cell r="C7">
            <v>0.36</v>
          </cell>
          <cell r="D7">
            <v>0.44</v>
          </cell>
          <cell r="E7">
            <v>0.44</v>
          </cell>
          <cell r="F7">
            <v>0.44</v>
          </cell>
          <cell r="G7">
            <v>0.36</v>
          </cell>
          <cell r="H7">
            <v>0.36</v>
          </cell>
          <cell r="U7">
            <v>0.34</v>
          </cell>
        </row>
        <row r="8">
          <cell r="B8">
            <v>0.38</v>
          </cell>
          <cell r="C8">
            <v>0.4</v>
          </cell>
          <cell r="D8">
            <v>0.48</v>
          </cell>
          <cell r="E8">
            <v>0.48</v>
          </cell>
          <cell r="F8">
            <v>0.48</v>
          </cell>
          <cell r="G8">
            <v>0.4</v>
          </cell>
          <cell r="H8">
            <v>0.4</v>
          </cell>
          <cell r="U8">
            <v>0.37</v>
          </cell>
        </row>
        <row r="9">
          <cell r="B9">
            <v>0.43</v>
          </cell>
          <cell r="C9">
            <v>0.47</v>
          </cell>
          <cell r="D9">
            <v>0.54</v>
          </cell>
          <cell r="E9">
            <v>0.54</v>
          </cell>
          <cell r="F9">
            <v>0.54</v>
          </cell>
          <cell r="G9">
            <v>0.45</v>
          </cell>
          <cell r="H9">
            <v>0.45</v>
          </cell>
          <cell r="U9">
            <v>0.42</v>
          </cell>
        </row>
        <row r="10">
          <cell r="B10">
            <v>0.47</v>
          </cell>
          <cell r="C10">
            <v>0.5</v>
          </cell>
          <cell r="D10">
            <v>0.57999999999999996</v>
          </cell>
          <cell r="E10">
            <v>0.57999999999999996</v>
          </cell>
          <cell r="F10">
            <v>0.57999999999999996</v>
          </cell>
          <cell r="G10">
            <v>0.5</v>
          </cell>
          <cell r="H10">
            <v>0.5</v>
          </cell>
          <cell r="U10">
            <v>0.46</v>
          </cell>
        </row>
        <row r="11">
          <cell r="B11">
            <v>0.5</v>
          </cell>
          <cell r="C11">
            <v>0.53</v>
          </cell>
          <cell r="D11">
            <v>0.61</v>
          </cell>
          <cell r="E11">
            <v>0.61</v>
          </cell>
          <cell r="F11">
            <v>0.61</v>
          </cell>
          <cell r="G11">
            <v>0.52</v>
          </cell>
          <cell r="H11">
            <v>0.52</v>
          </cell>
          <cell r="U11">
            <v>0.48</v>
          </cell>
        </row>
        <row r="12">
          <cell r="B12">
            <v>0.54</v>
          </cell>
          <cell r="C12">
            <v>0.57999999999999996</v>
          </cell>
          <cell r="D12">
            <v>0.65</v>
          </cell>
          <cell r="E12">
            <v>0.65</v>
          </cell>
          <cell r="F12">
            <v>0.65</v>
          </cell>
          <cell r="G12">
            <v>0.56000000000000005</v>
          </cell>
          <cell r="H12">
            <v>0.56000000000000005</v>
          </cell>
          <cell r="U12">
            <v>0.52</v>
          </cell>
        </row>
        <row r="13">
          <cell r="B13">
            <v>0.56999999999999995</v>
          </cell>
          <cell r="C13">
            <v>0.61</v>
          </cell>
          <cell r="D13">
            <v>0.67</v>
          </cell>
          <cell r="E13">
            <v>0.67</v>
          </cell>
          <cell r="F13">
            <v>0.67</v>
          </cell>
          <cell r="G13">
            <v>0.59</v>
          </cell>
          <cell r="H13">
            <v>0.59</v>
          </cell>
          <cell r="U13">
            <v>0.54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線管"/>
      <sheetName val="配線器具"/>
      <sheetName val="ボックス類"/>
      <sheetName val="塗装費"/>
      <sheetName val="接地工事"/>
      <sheetName val="弱電類"/>
      <sheetName val="照明盤放送"/>
      <sheetName val="電極ﾘﾚｰ"/>
      <sheetName val="ｺﾝｸﾘｰﾄはつり"/>
      <sheetName val="盤分掛表"/>
      <sheetName val="見積比較検討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 頭"/>
      <sheetName val="内訳"/>
      <sheetName val="集計"/>
      <sheetName val="FUKUTAN1"/>
      <sheetName val="比較"/>
      <sheetName val="比較 (2)"/>
      <sheetName val="配電盤"/>
      <sheetName val="土工事"/>
      <sheetName val="代価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経費計算表"/>
      <sheetName val="計算表の使い方"/>
    </sheetNames>
    <sheetDataSet>
      <sheetData sheetId="0" refreshError="1">
        <row r="37">
          <cell r="B37" t="str">
            <v>直接工事費（下請け諸経費含む）</v>
          </cell>
        </row>
        <row r="38">
          <cell r="B38" t="str">
            <v>共通仮設費（率計算分）</v>
          </cell>
        </row>
        <row r="39">
          <cell r="B39" t="str">
            <v>共通仮設費（積上げ分）</v>
          </cell>
        </row>
        <row r="40">
          <cell r="B40" t="str">
            <v>現場管理費</v>
          </cell>
        </row>
        <row r="41">
          <cell r="B41" t="str">
            <v>一般管理費調整額</v>
          </cell>
        </row>
        <row r="54">
          <cell r="B54" t="str">
            <v>直接工事費（下請け諸経費含む）</v>
          </cell>
          <cell r="C54">
            <v>244879086</v>
          </cell>
        </row>
        <row r="55">
          <cell r="B55" t="str">
            <v>共通仮設費（率計算分）</v>
          </cell>
          <cell r="C55">
            <v>8316419</v>
          </cell>
        </row>
        <row r="56">
          <cell r="B56" t="str">
            <v>共通仮設費（積上げ分）</v>
          </cell>
          <cell r="C56">
            <v>5000000</v>
          </cell>
        </row>
        <row r="57">
          <cell r="B57" t="str">
            <v>現場管理費</v>
          </cell>
          <cell r="C57">
            <v>20373766</v>
          </cell>
        </row>
        <row r="58">
          <cell r="B58" t="str">
            <v>一般管理費調整額</v>
          </cell>
          <cell r="C58">
            <v>26491729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雨水集計"/>
      <sheetName val="提出雨新"/>
      <sheetName val="函渠工集計"/>
      <sheetName val="雨水取付集計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科目"/>
      <sheetName val="細目"/>
      <sheetName val="見積比較"/>
      <sheetName val="Sheet1"/>
      <sheetName val="最低基準価格"/>
      <sheetName val="歩掛ﾃﾞｰﾀ"/>
      <sheetName val="EV内訳1"/>
      <sheetName val="設計書"/>
      <sheetName val="A01"/>
      <sheetName val="工事ﾃﾞｰﾀ入力ｼｰ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1"/>
    </sheetNames>
    <definedNames>
      <definedName name="IV電線"/>
      <definedName name="UP率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宅ﾏｸﾛ"/>
    </sheetNames>
    <definedNames>
      <definedName name="Module12.キャンセル"/>
      <definedName name="Record16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"/>
    </sheetNames>
    <definedNames>
      <definedName name="キャンセル"/>
      <definedName name="スイッチ"/>
      <definedName name="スイッチ入力"/>
      <definedName name="労務費キャンセル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845A-C3C9-42B8-8D11-73F3D019C6A5}">
  <dimension ref="A1:I71"/>
  <sheetViews>
    <sheetView tabSelected="1" view="pageBreakPreview" zoomScale="86" zoomScaleNormal="100" zoomScaleSheetLayoutView="86" workbookViewId="0">
      <selection activeCell="G40" sqref="G40"/>
    </sheetView>
  </sheetViews>
  <sheetFormatPr defaultRowHeight="14.25" customHeight="1"/>
  <cols>
    <col min="1" max="1" width="8.125" style="1" customWidth="1"/>
    <col min="2" max="2" width="27.125" style="1" customWidth="1"/>
    <col min="3" max="3" width="29.375" style="1" customWidth="1"/>
    <col min="4" max="4" width="13.125" style="1" customWidth="1"/>
    <col min="5" max="5" width="7.125" style="1" customWidth="1"/>
    <col min="6" max="6" width="13.125" style="1" customWidth="1"/>
    <col min="7" max="7" width="16.125" style="1" customWidth="1"/>
    <col min="8" max="8" width="22.125" style="1" customWidth="1"/>
    <col min="9" max="245" width="9" style="1"/>
    <col min="246" max="246" width="8.125" style="1" customWidth="1"/>
    <col min="247" max="247" width="27.125" style="1" customWidth="1"/>
    <col min="248" max="248" width="29.375" style="1" customWidth="1"/>
    <col min="249" max="249" width="13.125" style="1" customWidth="1"/>
    <col min="250" max="250" width="7.125" style="1" customWidth="1"/>
    <col min="251" max="251" width="13.125" style="1" customWidth="1"/>
    <col min="252" max="252" width="16.125" style="1" customWidth="1"/>
    <col min="253" max="253" width="22.125" style="1" customWidth="1"/>
    <col min="254" max="501" width="9" style="1"/>
    <col min="502" max="502" width="8.125" style="1" customWidth="1"/>
    <col min="503" max="503" width="27.125" style="1" customWidth="1"/>
    <col min="504" max="504" width="29.375" style="1" customWidth="1"/>
    <col min="505" max="505" width="13.125" style="1" customWidth="1"/>
    <col min="506" max="506" width="7.125" style="1" customWidth="1"/>
    <col min="507" max="507" width="13.125" style="1" customWidth="1"/>
    <col min="508" max="508" width="16.125" style="1" customWidth="1"/>
    <col min="509" max="509" width="22.125" style="1" customWidth="1"/>
    <col min="510" max="757" width="9" style="1"/>
    <col min="758" max="758" width="8.125" style="1" customWidth="1"/>
    <col min="759" max="759" width="27.125" style="1" customWidth="1"/>
    <col min="760" max="760" width="29.375" style="1" customWidth="1"/>
    <col min="761" max="761" width="13.125" style="1" customWidth="1"/>
    <col min="762" max="762" width="7.125" style="1" customWidth="1"/>
    <col min="763" max="763" width="13.125" style="1" customWidth="1"/>
    <col min="764" max="764" width="16.125" style="1" customWidth="1"/>
    <col min="765" max="765" width="22.125" style="1" customWidth="1"/>
    <col min="766" max="1013" width="9" style="1"/>
    <col min="1014" max="1014" width="8.125" style="1" customWidth="1"/>
    <col min="1015" max="1015" width="27.125" style="1" customWidth="1"/>
    <col min="1016" max="1016" width="29.375" style="1" customWidth="1"/>
    <col min="1017" max="1017" width="13.125" style="1" customWidth="1"/>
    <col min="1018" max="1018" width="7.125" style="1" customWidth="1"/>
    <col min="1019" max="1019" width="13.125" style="1" customWidth="1"/>
    <col min="1020" max="1020" width="16.125" style="1" customWidth="1"/>
    <col min="1021" max="1021" width="22.125" style="1" customWidth="1"/>
    <col min="1022" max="1269" width="9" style="1"/>
    <col min="1270" max="1270" width="8.125" style="1" customWidth="1"/>
    <col min="1271" max="1271" width="27.125" style="1" customWidth="1"/>
    <col min="1272" max="1272" width="29.375" style="1" customWidth="1"/>
    <col min="1273" max="1273" width="13.125" style="1" customWidth="1"/>
    <col min="1274" max="1274" width="7.125" style="1" customWidth="1"/>
    <col min="1275" max="1275" width="13.125" style="1" customWidth="1"/>
    <col min="1276" max="1276" width="16.125" style="1" customWidth="1"/>
    <col min="1277" max="1277" width="22.125" style="1" customWidth="1"/>
    <col min="1278" max="1525" width="9" style="1"/>
    <col min="1526" max="1526" width="8.125" style="1" customWidth="1"/>
    <col min="1527" max="1527" width="27.125" style="1" customWidth="1"/>
    <col min="1528" max="1528" width="29.375" style="1" customWidth="1"/>
    <col min="1529" max="1529" width="13.125" style="1" customWidth="1"/>
    <col min="1530" max="1530" width="7.125" style="1" customWidth="1"/>
    <col min="1531" max="1531" width="13.125" style="1" customWidth="1"/>
    <col min="1532" max="1532" width="16.125" style="1" customWidth="1"/>
    <col min="1533" max="1533" width="22.125" style="1" customWidth="1"/>
    <col min="1534" max="1781" width="9" style="1"/>
    <col min="1782" max="1782" width="8.125" style="1" customWidth="1"/>
    <col min="1783" max="1783" width="27.125" style="1" customWidth="1"/>
    <col min="1784" max="1784" width="29.375" style="1" customWidth="1"/>
    <col min="1785" max="1785" width="13.125" style="1" customWidth="1"/>
    <col min="1786" max="1786" width="7.125" style="1" customWidth="1"/>
    <col min="1787" max="1787" width="13.125" style="1" customWidth="1"/>
    <col min="1788" max="1788" width="16.125" style="1" customWidth="1"/>
    <col min="1789" max="1789" width="22.125" style="1" customWidth="1"/>
    <col min="1790" max="2037" width="9" style="1"/>
    <col min="2038" max="2038" width="8.125" style="1" customWidth="1"/>
    <col min="2039" max="2039" width="27.125" style="1" customWidth="1"/>
    <col min="2040" max="2040" width="29.375" style="1" customWidth="1"/>
    <col min="2041" max="2041" width="13.125" style="1" customWidth="1"/>
    <col min="2042" max="2042" width="7.125" style="1" customWidth="1"/>
    <col min="2043" max="2043" width="13.125" style="1" customWidth="1"/>
    <col min="2044" max="2044" width="16.125" style="1" customWidth="1"/>
    <col min="2045" max="2045" width="22.125" style="1" customWidth="1"/>
    <col min="2046" max="2293" width="9" style="1"/>
    <col min="2294" max="2294" width="8.125" style="1" customWidth="1"/>
    <col min="2295" max="2295" width="27.125" style="1" customWidth="1"/>
    <col min="2296" max="2296" width="29.375" style="1" customWidth="1"/>
    <col min="2297" max="2297" width="13.125" style="1" customWidth="1"/>
    <col min="2298" max="2298" width="7.125" style="1" customWidth="1"/>
    <col min="2299" max="2299" width="13.125" style="1" customWidth="1"/>
    <col min="2300" max="2300" width="16.125" style="1" customWidth="1"/>
    <col min="2301" max="2301" width="22.125" style="1" customWidth="1"/>
    <col min="2302" max="2549" width="9" style="1"/>
    <col min="2550" max="2550" width="8.125" style="1" customWidth="1"/>
    <col min="2551" max="2551" width="27.125" style="1" customWidth="1"/>
    <col min="2552" max="2552" width="29.375" style="1" customWidth="1"/>
    <col min="2553" max="2553" width="13.125" style="1" customWidth="1"/>
    <col min="2554" max="2554" width="7.125" style="1" customWidth="1"/>
    <col min="2555" max="2555" width="13.125" style="1" customWidth="1"/>
    <col min="2556" max="2556" width="16.125" style="1" customWidth="1"/>
    <col min="2557" max="2557" width="22.125" style="1" customWidth="1"/>
    <col min="2558" max="2805" width="9" style="1"/>
    <col min="2806" max="2806" width="8.125" style="1" customWidth="1"/>
    <col min="2807" max="2807" width="27.125" style="1" customWidth="1"/>
    <col min="2808" max="2808" width="29.375" style="1" customWidth="1"/>
    <col min="2809" max="2809" width="13.125" style="1" customWidth="1"/>
    <col min="2810" max="2810" width="7.125" style="1" customWidth="1"/>
    <col min="2811" max="2811" width="13.125" style="1" customWidth="1"/>
    <col min="2812" max="2812" width="16.125" style="1" customWidth="1"/>
    <col min="2813" max="2813" width="22.125" style="1" customWidth="1"/>
    <col min="2814" max="3061" width="9" style="1"/>
    <col min="3062" max="3062" width="8.125" style="1" customWidth="1"/>
    <col min="3063" max="3063" width="27.125" style="1" customWidth="1"/>
    <col min="3064" max="3064" width="29.375" style="1" customWidth="1"/>
    <col min="3065" max="3065" width="13.125" style="1" customWidth="1"/>
    <col min="3066" max="3066" width="7.125" style="1" customWidth="1"/>
    <col min="3067" max="3067" width="13.125" style="1" customWidth="1"/>
    <col min="3068" max="3068" width="16.125" style="1" customWidth="1"/>
    <col min="3069" max="3069" width="22.125" style="1" customWidth="1"/>
    <col min="3070" max="3317" width="9" style="1"/>
    <col min="3318" max="3318" width="8.125" style="1" customWidth="1"/>
    <col min="3319" max="3319" width="27.125" style="1" customWidth="1"/>
    <col min="3320" max="3320" width="29.375" style="1" customWidth="1"/>
    <col min="3321" max="3321" width="13.125" style="1" customWidth="1"/>
    <col min="3322" max="3322" width="7.125" style="1" customWidth="1"/>
    <col min="3323" max="3323" width="13.125" style="1" customWidth="1"/>
    <col min="3324" max="3324" width="16.125" style="1" customWidth="1"/>
    <col min="3325" max="3325" width="22.125" style="1" customWidth="1"/>
    <col min="3326" max="3573" width="9" style="1"/>
    <col min="3574" max="3574" width="8.125" style="1" customWidth="1"/>
    <col min="3575" max="3575" width="27.125" style="1" customWidth="1"/>
    <col min="3576" max="3576" width="29.375" style="1" customWidth="1"/>
    <col min="3577" max="3577" width="13.125" style="1" customWidth="1"/>
    <col min="3578" max="3578" width="7.125" style="1" customWidth="1"/>
    <col min="3579" max="3579" width="13.125" style="1" customWidth="1"/>
    <col min="3580" max="3580" width="16.125" style="1" customWidth="1"/>
    <col min="3581" max="3581" width="22.125" style="1" customWidth="1"/>
    <col min="3582" max="3829" width="9" style="1"/>
    <col min="3830" max="3830" width="8.125" style="1" customWidth="1"/>
    <col min="3831" max="3831" width="27.125" style="1" customWidth="1"/>
    <col min="3832" max="3832" width="29.375" style="1" customWidth="1"/>
    <col min="3833" max="3833" width="13.125" style="1" customWidth="1"/>
    <col min="3834" max="3834" width="7.125" style="1" customWidth="1"/>
    <col min="3835" max="3835" width="13.125" style="1" customWidth="1"/>
    <col min="3836" max="3836" width="16.125" style="1" customWidth="1"/>
    <col min="3837" max="3837" width="22.125" style="1" customWidth="1"/>
    <col min="3838" max="4085" width="9" style="1"/>
    <col min="4086" max="4086" width="8.125" style="1" customWidth="1"/>
    <col min="4087" max="4087" width="27.125" style="1" customWidth="1"/>
    <col min="4088" max="4088" width="29.375" style="1" customWidth="1"/>
    <col min="4089" max="4089" width="13.125" style="1" customWidth="1"/>
    <col min="4090" max="4090" width="7.125" style="1" customWidth="1"/>
    <col min="4091" max="4091" width="13.125" style="1" customWidth="1"/>
    <col min="4092" max="4092" width="16.125" style="1" customWidth="1"/>
    <col min="4093" max="4093" width="22.125" style="1" customWidth="1"/>
    <col min="4094" max="4341" width="9" style="1"/>
    <col min="4342" max="4342" width="8.125" style="1" customWidth="1"/>
    <col min="4343" max="4343" width="27.125" style="1" customWidth="1"/>
    <col min="4344" max="4344" width="29.375" style="1" customWidth="1"/>
    <col min="4345" max="4345" width="13.125" style="1" customWidth="1"/>
    <col min="4346" max="4346" width="7.125" style="1" customWidth="1"/>
    <col min="4347" max="4347" width="13.125" style="1" customWidth="1"/>
    <col min="4348" max="4348" width="16.125" style="1" customWidth="1"/>
    <col min="4349" max="4349" width="22.125" style="1" customWidth="1"/>
    <col min="4350" max="4597" width="9" style="1"/>
    <col min="4598" max="4598" width="8.125" style="1" customWidth="1"/>
    <col min="4599" max="4599" width="27.125" style="1" customWidth="1"/>
    <col min="4600" max="4600" width="29.375" style="1" customWidth="1"/>
    <col min="4601" max="4601" width="13.125" style="1" customWidth="1"/>
    <col min="4602" max="4602" width="7.125" style="1" customWidth="1"/>
    <col min="4603" max="4603" width="13.125" style="1" customWidth="1"/>
    <col min="4604" max="4604" width="16.125" style="1" customWidth="1"/>
    <col min="4605" max="4605" width="22.125" style="1" customWidth="1"/>
    <col min="4606" max="4853" width="9" style="1"/>
    <col min="4854" max="4854" width="8.125" style="1" customWidth="1"/>
    <col min="4855" max="4855" width="27.125" style="1" customWidth="1"/>
    <col min="4856" max="4856" width="29.375" style="1" customWidth="1"/>
    <col min="4857" max="4857" width="13.125" style="1" customWidth="1"/>
    <col min="4858" max="4858" width="7.125" style="1" customWidth="1"/>
    <col min="4859" max="4859" width="13.125" style="1" customWidth="1"/>
    <col min="4860" max="4860" width="16.125" style="1" customWidth="1"/>
    <col min="4861" max="4861" width="22.125" style="1" customWidth="1"/>
    <col min="4862" max="5109" width="9" style="1"/>
    <col min="5110" max="5110" width="8.125" style="1" customWidth="1"/>
    <col min="5111" max="5111" width="27.125" style="1" customWidth="1"/>
    <col min="5112" max="5112" width="29.375" style="1" customWidth="1"/>
    <col min="5113" max="5113" width="13.125" style="1" customWidth="1"/>
    <col min="5114" max="5114" width="7.125" style="1" customWidth="1"/>
    <col min="5115" max="5115" width="13.125" style="1" customWidth="1"/>
    <col min="5116" max="5116" width="16.125" style="1" customWidth="1"/>
    <col min="5117" max="5117" width="22.125" style="1" customWidth="1"/>
    <col min="5118" max="5365" width="9" style="1"/>
    <col min="5366" max="5366" width="8.125" style="1" customWidth="1"/>
    <col min="5367" max="5367" width="27.125" style="1" customWidth="1"/>
    <col min="5368" max="5368" width="29.375" style="1" customWidth="1"/>
    <col min="5369" max="5369" width="13.125" style="1" customWidth="1"/>
    <col min="5370" max="5370" width="7.125" style="1" customWidth="1"/>
    <col min="5371" max="5371" width="13.125" style="1" customWidth="1"/>
    <col min="5372" max="5372" width="16.125" style="1" customWidth="1"/>
    <col min="5373" max="5373" width="22.125" style="1" customWidth="1"/>
    <col min="5374" max="5621" width="9" style="1"/>
    <col min="5622" max="5622" width="8.125" style="1" customWidth="1"/>
    <col min="5623" max="5623" width="27.125" style="1" customWidth="1"/>
    <col min="5624" max="5624" width="29.375" style="1" customWidth="1"/>
    <col min="5625" max="5625" width="13.125" style="1" customWidth="1"/>
    <col min="5626" max="5626" width="7.125" style="1" customWidth="1"/>
    <col min="5627" max="5627" width="13.125" style="1" customWidth="1"/>
    <col min="5628" max="5628" width="16.125" style="1" customWidth="1"/>
    <col min="5629" max="5629" width="22.125" style="1" customWidth="1"/>
    <col min="5630" max="5877" width="9" style="1"/>
    <col min="5878" max="5878" width="8.125" style="1" customWidth="1"/>
    <col min="5879" max="5879" width="27.125" style="1" customWidth="1"/>
    <col min="5880" max="5880" width="29.375" style="1" customWidth="1"/>
    <col min="5881" max="5881" width="13.125" style="1" customWidth="1"/>
    <col min="5882" max="5882" width="7.125" style="1" customWidth="1"/>
    <col min="5883" max="5883" width="13.125" style="1" customWidth="1"/>
    <col min="5884" max="5884" width="16.125" style="1" customWidth="1"/>
    <col min="5885" max="5885" width="22.125" style="1" customWidth="1"/>
    <col min="5886" max="6133" width="9" style="1"/>
    <col min="6134" max="6134" width="8.125" style="1" customWidth="1"/>
    <col min="6135" max="6135" width="27.125" style="1" customWidth="1"/>
    <col min="6136" max="6136" width="29.375" style="1" customWidth="1"/>
    <col min="6137" max="6137" width="13.125" style="1" customWidth="1"/>
    <col min="6138" max="6138" width="7.125" style="1" customWidth="1"/>
    <col min="6139" max="6139" width="13.125" style="1" customWidth="1"/>
    <col min="6140" max="6140" width="16.125" style="1" customWidth="1"/>
    <col min="6141" max="6141" width="22.125" style="1" customWidth="1"/>
    <col min="6142" max="6389" width="9" style="1"/>
    <col min="6390" max="6390" width="8.125" style="1" customWidth="1"/>
    <col min="6391" max="6391" width="27.125" style="1" customWidth="1"/>
    <col min="6392" max="6392" width="29.375" style="1" customWidth="1"/>
    <col min="6393" max="6393" width="13.125" style="1" customWidth="1"/>
    <col min="6394" max="6394" width="7.125" style="1" customWidth="1"/>
    <col min="6395" max="6395" width="13.125" style="1" customWidth="1"/>
    <col min="6396" max="6396" width="16.125" style="1" customWidth="1"/>
    <col min="6397" max="6397" width="22.125" style="1" customWidth="1"/>
    <col min="6398" max="6645" width="9" style="1"/>
    <col min="6646" max="6646" width="8.125" style="1" customWidth="1"/>
    <col min="6647" max="6647" width="27.125" style="1" customWidth="1"/>
    <col min="6648" max="6648" width="29.375" style="1" customWidth="1"/>
    <col min="6649" max="6649" width="13.125" style="1" customWidth="1"/>
    <col min="6650" max="6650" width="7.125" style="1" customWidth="1"/>
    <col min="6651" max="6651" width="13.125" style="1" customWidth="1"/>
    <col min="6652" max="6652" width="16.125" style="1" customWidth="1"/>
    <col min="6653" max="6653" width="22.125" style="1" customWidth="1"/>
    <col min="6654" max="6901" width="9" style="1"/>
    <col min="6902" max="6902" width="8.125" style="1" customWidth="1"/>
    <col min="6903" max="6903" width="27.125" style="1" customWidth="1"/>
    <col min="6904" max="6904" width="29.375" style="1" customWidth="1"/>
    <col min="6905" max="6905" width="13.125" style="1" customWidth="1"/>
    <col min="6906" max="6906" width="7.125" style="1" customWidth="1"/>
    <col min="6907" max="6907" width="13.125" style="1" customWidth="1"/>
    <col min="6908" max="6908" width="16.125" style="1" customWidth="1"/>
    <col min="6909" max="6909" width="22.125" style="1" customWidth="1"/>
    <col min="6910" max="7157" width="9" style="1"/>
    <col min="7158" max="7158" width="8.125" style="1" customWidth="1"/>
    <col min="7159" max="7159" width="27.125" style="1" customWidth="1"/>
    <col min="7160" max="7160" width="29.375" style="1" customWidth="1"/>
    <col min="7161" max="7161" width="13.125" style="1" customWidth="1"/>
    <col min="7162" max="7162" width="7.125" style="1" customWidth="1"/>
    <col min="7163" max="7163" width="13.125" style="1" customWidth="1"/>
    <col min="7164" max="7164" width="16.125" style="1" customWidth="1"/>
    <col min="7165" max="7165" width="22.125" style="1" customWidth="1"/>
    <col min="7166" max="7413" width="9" style="1"/>
    <col min="7414" max="7414" width="8.125" style="1" customWidth="1"/>
    <col min="7415" max="7415" width="27.125" style="1" customWidth="1"/>
    <col min="7416" max="7416" width="29.375" style="1" customWidth="1"/>
    <col min="7417" max="7417" width="13.125" style="1" customWidth="1"/>
    <col min="7418" max="7418" width="7.125" style="1" customWidth="1"/>
    <col min="7419" max="7419" width="13.125" style="1" customWidth="1"/>
    <col min="7420" max="7420" width="16.125" style="1" customWidth="1"/>
    <col min="7421" max="7421" width="22.125" style="1" customWidth="1"/>
    <col min="7422" max="7669" width="9" style="1"/>
    <col min="7670" max="7670" width="8.125" style="1" customWidth="1"/>
    <col min="7671" max="7671" width="27.125" style="1" customWidth="1"/>
    <col min="7672" max="7672" width="29.375" style="1" customWidth="1"/>
    <col min="7673" max="7673" width="13.125" style="1" customWidth="1"/>
    <col min="7674" max="7674" width="7.125" style="1" customWidth="1"/>
    <col min="7675" max="7675" width="13.125" style="1" customWidth="1"/>
    <col min="7676" max="7676" width="16.125" style="1" customWidth="1"/>
    <col min="7677" max="7677" width="22.125" style="1" customWidth="1"/>
    <col min="7678" max="7925" width="9" style="1"/>
    <col min="7926" max="7926" width="8.125" style="1" customWidth="1"/>
    <col min="7927" max="7927" width="27.125" style="1" customWidth="1"/>
    <col min="7928" max="7928" width="29.375" style="1" customWidth="1"/>
    <col min="7929" max="7929" width="13.125" style="1" customWidth="1"/>
    <col min="7930" max="7930" width="7.125" style="1" customWidth="1"/>
    <col min="7931" max="7931" width="13.125" style="1" customWidth="1"/>
    <col min="7932" max="7932" width="16.125" style="1" customWidth="1"/>
    <col min="7933" max="7933" width="22.125" style="1" customWidth="1"/>
    <col min="7934" max="8181" width="9" style="1"/>
    <col min="8182" max="8182" width="8.125" style="1" customWidth="1"/>
    <col min="8183" max="8183" width="27.125" style="1" customWidth="1"/>
    <col min="8184" max="8184" width="29.375" style="1" customWidth="1"/>
    <col min="8185" max="8185" width="13.125" style="1" customWidth="1"/>
    <col min="8186" max="8186" width="7.125" style="1" customWidth="1"/>
    <col min="8187" max="8187" width="13.125" style="1" customWidth="1"/>
    <col min="8188" max="8188" width="16.125" style="1" customWidth="1"/>
    <col min="8189" max="8189" width="22.125" style="1" customWidth="1"/>
    <col min="8190" max="8437" width="9" style="1"/>
    <col min="8438" max="8438" width="8.125" style="1" customWidth="1"/>
    <col min="8439" max="8439" width="27.125" style="1" customWidth="1"/>
    <col min="8440" max="8440" width="29.375" style="1" customWidth="1"/>
    <col min="8441" max="8441" width="13.125" style="1" customWidth="1"/>
    <col min="8442" max="8442" width="7.125" style="1" customWidth="1"/>
    <col min="8443" max="8443" width="13.125" style="1" customWidth="1"/>
    <col min="8444" max="8444" width="16.125" style="1" customWidth="1"/>
    <col min="8445" max="8445" width="22.125" style="1" customWidth="1"/>
    <col min="8446" max="8693" width="9" style="1"/>
    <col min="8694" max="8694" width="8.125" style="1" customWidth="1"/>
    <col min="8695" max="8695" width="27.125" style="1" customWidth="1"/>
    <col min="8696" max="8696" width="29.375" style="1" customWidth="1"/>
    <col min="8697" max="8697" width="13.125" style="1" customWidth="1"/>
    <col min="8698" max="8698" width="7.125" style="1" customWidth="1"/>
    <col min="8699" max="8699" width="13.125" style="1" customWidth="1"/>
    <col min="8700" max="8700" width="16.125" style="1" customWidth="1"/>
    <col min="8701" max="8701" width="22.125" style="1" customWidth="1"/>
    <col min="8702" max="8949" width="9" style="1"/>
    <col min="8950" max="8950" width="8.125" style="1" customWidth="1"/>
    <col min="8951" max="8951" width="27.125" style="1" customWidth="1"/>
    <col min="8952" max="8952" width="29.375" style="1" customWidth="1"/>
    <col min="8953" max="8953" width="13.125" style="1" customWidth="1"/>
    <col min="8954" max="8954" width="7.125" style="1" customWidth="1"/>
    <col min="8955" max="8955" width="13.125" style="1" customWidth="1"/>
    <col min="8956" max="8956" width="16.125" style="1" customWidth="1"/>
    <col min="8957" max="8957" width="22.125" style="1" customWidth="1"/>
    <col min="8958" max="9205" width="9" style="1"/>
    <col min="9206" max="9206" width="8.125" style="1" customWidth="1"/>
    <col min="9207" max="9207" width="27.125" style="1" customWidth="1"/>
    <col min="9208" max="9208" width="29.375" style="1" customWidth="1"/>
    <col min="9209" max="9209" width="13.125" style="1" customWidth="1"/>
    <col min="9210" max="9210" width="7.125" style="1" customWidth="1"/>
    <col min="9211" max="9211" width="13.125" style="1" customWidth="1"/>
    <col min="9212" max="9212" width="16.125" style="1" customWidth="1"/>
    <col min="9213" max="9213" width="22.125" style="1" customWidth="1"/>
    <col min="9214" max="9461" width="9" style="1"/>
    <col min="9462" max="9462" width="8.125" style="1" customWidth="1"/>
    <col min="9463" max="9463" width="27.125" style="1" customWidth="1"/>
    <col min="9464" max="9464" width="29.375" style="1" customWidth="1"/>
    <col min="9465" max="9465" width="13.125" style="1" customWidth="1"/>
    <col min="9466" max="9466" width="7.125" style="1" customWidth="1"/>
    <col min="9467" max="9467" width="13.125" style="1" customWidth="1"/>
    <col min="9468" max="9468" width="16.125" style="1" customWidth="1"/>
    <col min="9469" max="9469" width="22.125" style="1" customWidth="1"/>
    <col min="9470" max="9717" width="9" style="1"/>
    <col min="9718" max="9718" width="8.125" style="1" customWidth="1"/>
    <col min="9719" max="9719" width="27.125" style="1" customWidth="1"/>
    <col min="9720" max="9720" width="29.375" style="1" customWidth="1"/>
    <col min="9721" max="9721" width="13.125" style="1" customWidth="1"/>
    <col min="9722" max="9722" width="7.125" style="1" customWidth="1"/>
    <col min="9723" max="9723" width="13.125" style="1" customWidth="1"/>
    <col min="9724" max="9724" width="16.125" style="1" customWidth="1"/>
    <col min="9725" max="9725" width="22.125" style="1" customWidth="1"/>
    <col min="9726" max="9973" width="9" style="1"/>
    <col min="9974" max="9974" width="8.125" style="1" customWidth="1"/>
    <col min="9975" max="9975" width="27.125" style="1" customWidth="1"/>
    <col min="9976" max="9976" width="29.375" style="1" customWidth="1"/>
    <col min="9977" max="9977" width="13.125" style="1" customWidth="1"/>
    <col min="9978" max="9978" width="7.125" style="1" customWidth="1"/>
    <col min="9979" max="9979" width="13.125" style="1" customWidth="1"/>
    <col min="9980" max="9980" width="16.125" style="1" customWidth="1"/>
    <col min="9981" max="9981" width="22.125" style="1" customWidth="1"/>
    <col min="9982" max="10229" width="9" style="1"/>
    <col min="10230" max="10230" width="8.125" style="1" customWidth="1"/>
    <col min="10231" max="10231" width="27.125" style="1" customWidth="1"/>
    <col min="10232" max="10232" width="29.375" style="1" customWidth="1"/>
    <col min="10233" max="10233" width="13.125" style="1" customWidth="1"/>
    <col min="10234" max="10234" width="7.125" style="1" customWidth="1"/>
    <col min="10235" max="10235" width="13.125" style="1" customWidth="1"/>
    <col min="10236" max="10236" width="16.125" style="1" customWidth="1"/>
    <col min="10237" max="10237" width="22.125" style="1" customWidth="1"/>
    <col min="10238" max="10485" width="9" style="1"/>
    <col min="10486" max="10486" width="8.125" style="1" customWidth="1"/>
    <col min="10487" max="10487" width="27.125" style="1" customWidth="1"/>
    <col min="10488" max="10488" width="29.375" style="1" customWidth="1"/>
    <col min="10489" max="10489" width="13.125" style="1" customWidth="1"/>
    <col min="10490" max="10490" width="7.125" style="1" customWidth="1"/>
    <col min="10491" max="10491" width="13.125" style="1" customWidth="1"/>
    <col min="10492" max="10492" width="16.125" style="1" customWidth="1"/>
    <col min="10493" max="10493" width="22.125" style="1" customWidth="1"/>
    <col min="10494" max="10741" width="9" style="1"/>
    <col min="10742" max="10742" width="8.125" style="1" customWidth="1"/>
    <col min="10743" max="10743" width="27.125" style="1" customWidth="1"/>
    <col min="10744" max="10744" width="29.375" style="1" customWidth="1"/>
    <col min="10745" max="10745" width="13.125" style="1" customWidth="1"/>
    <col min="10746" max="10746" width="7.125" style="1" customWidth="1"/>
    <col min="10747" max="10747" width="13.125" style="1" customWidth="1"/>
    <col min="10748" max="10748" width="16.125" style="1" customWidth="1"/>
    <col min="10749" max="10749" width="22.125" style="1" customWidth="1"/>
    <col min="10750" max="10997" width="9" style="1"/>
    <col min="10998" max="10998" width="8.125" style="1" customWidth="1"/>
    <col min="10999" max="10999" width="27.125" style="1" customWidth="1"/>
    <col min="11000" max="11000" width="29.375" style="1" customWidth="1"/>
    <col min="11001" max="11001" width="13.125" style="1" customWidth="1"/>
    <col min="11002" max="11002" width="7.125" style="1" customWidth="1"/>
    <col min="11003" max="11003" width="13.125" style="1" customWidth="1"/>
    <col min="11004" max="11004" width="16.125" style="1" customWidth="1"/>
    <col min="11005" max="11005" width="22.125" style="1" customWidth="1"/>
    <col min="11006" max="11253" width="9" style="1"/>
    <col min="11254" max="11254" width="8.125" style="1" customWidth="1"/>
    <col min="11255" max="11255" width="27.125" style="1" customWidth="1"/>
    <col min="11256" max="11256" width="29.375" style="1" customWidth="1"/>
    <col min="11257" max="11257" width="13.125" style="1" customWidth="1"/>
    <col min="11258" max="11258" width="7.125" style="1" customWidth="1"/>
    <col min="11259" max="11259" width="13.125" style="1" customWidth="1"/>
    <col min="11260" max="11260" width="16.125" style="1" customWidth="1"/>
    <col min="11261" max="11261" width="22.125" style="1" customWidth="1"/>
    <col min="11262" max="11509" width="9" style="1"/>
    <col min="11510" max="11510" width="8.125" style="1" customWidth="1"/>
    <col min="11511" max="11511" width="27.125" style="1" customWidth="1"/>
    <col min="11512" max="11512" width="29.375" style="1" customWidth="1"/>
    <col min="11513" max="11513" width="13.125" style="1" customWidth="1"/>
    <col min="11514" max="11514" width="7.125" style="1" customWidth="1"/>
    <col min="11515" max="11515" width="13.125" style="1" customWidth="1"/>
    <col min="11516" max="11516" width="16.125" style="1" customWidth="1"/>
    <col min="11517" max="11517" width="22.125" style="1" customWidth="1"/>
    <col min="11518" max="11765" width="9" style="1"/>
    <col min="11766" max="11766" width="8.125" style="1" customWidth="1"/>
    <col min="11767" max="11767" width="27.125" style="1" customWidth="1"/>
    <col min="11768" max="11768" width="29.375" style="1" customWidth="1"/>
    <col min="11769" max="11769" width="13.125" style="1" customWidth="1"/>
    <col min="11770" max="11770" width="7.125" style="1" customWidth="1"/>
    <col min="11771" max="11771" width="13.125" style="1" customWidth="1"/>
    <col min="11772" max="11772" width="16.125" style="1" customWidth="1"/>
    <col min="11773" max="11773" width="22.125" style="1" customWidth="1"/>
    <col min="11774" max="12021" width="9" style="1"/>
    <col min="12022" max="12022" width="8.125" style="1" customWidth="1"/>
    <col min="12023" max="12023" width="27.125" style="1" customWidth="1"/>
    <col min="12024" max="12024" width="29.375" style="1" customWidth="1"/>
    <col min="12025" max="12025" width="13.125" style="1" customWidth="1"/>
    <col min="12026" max="12026" width="7.125" style="1" customWidth="1"/>
    <col min="12027" max="12027" width="13.125" style="1" customWidth="1"/>
    <col min="12028" max="12028" width="16.125" style="1" customWidth="1"/>
    <col min="12029" max="12029" width="22.125" style="1" customWidth="1"/>
    <col min="12030" max="12277" width="9" style="1"/>
    <col min="12278" max="12278" width="8.125" style="1" customWidth="1"/>
    <col min="12279" max="12279" width="27.125" style="1" customWidth="1"/>
    <col min="12280" max="12280" width="29.375" style="1" customWidth="1"/>
    <col min="12281" max="12281" width="13.125" style="1" customWidth="1"/>
    <col min="12282" max="12282" width="7.125" style="1" customWidth="1"/>
    <col min="12283" max="12283" width="13.125" style="1" customWidth="1"/>
    <col min="12284" max="12284" width="16.125" style="1" customWidth="1"/>
    <col min="12285" max="12285" width="22.125" style="1" customWidth="1"/>
    <col min="12286" max="12533" width="9" style="1"/>
    <col min="12534" max="12534" width="8.125" style="1" customWidth="1"/>
    <col min="12535" max="12535" width="27.125" style="1" customWidth="1"/>
    <col min="12536" max="12536" width="29.375" style="1" customWidth="1"/>
    <col min="12537" max="12537" width="13.125" style="1" customWidth="1"/>
    <col min="12538" max="12538" width="7.125" style="1" customWidth="1"/>
    <col min="12539" max="12539" width="13.125" style="1" customWidth="1"/>
    <col min="12540" max="12540" width="16.125" style="1" customWidth="1"/>
    <col min="12541" max="12541" width="22.125" style="1" customWidth="1"/>
    <col min="12542" max="12789" width="9" style="1"/>
    <col min="12790" max="12790" width="8.125" style="1" customWidth="1"/>
    <col min="12791" max="12791" width="27.125" style="1" customWidth="1"/>
    <col min="12792" max="12792" width="29.375" style="1" customWidth="1"/>
    <col min="12793" max="12793" width="13.125" style="1" customWidth="1"/>
    <col min="12794" max="12794" width="7.125" style="1" customWidth="1"/>
    <col min="12795" max="12795" width="13.125" style="1" customWidth="1"/>
    <col min="12796" max="12796" width="16.125" style="1" customWidth="1"/>
    <col min="12797" max="12797" width="22.125" style="1" customWidth="1"/>
    <col min="12798" max="13045" width="9" style="1"/>
    <col min="13046" max="13046" width="8.125" style="1" customWidth="1"/>
    <col min="13047" max="13047" width="27.125" style="1" customWidth="1"/>
    <col min="13048" max="13048" width="29.375" style="1" customWidth="1"/>
    <col min="13049" max="13049" width="13.125" style="1" customWidth="1"/>
    <col min="13050" max="13050" width="7.125" style="1" customWidth="1"/>
    <col min="13051" max="13051" width="13.125" style="1" customWidth="1"/>
    <col min="13052" max="13052" width="16.125" style="1" customWidth="1"/>
    <col min="13053" max="13053" width="22.125" style="1" customWidth="1"/>
    <col min="13054" max="13301" width="9" style="1"/>
    <col min="13302" max="13302" width="8.125" style="1" customWidth="1"/>
    <col min="13303" max="13303" width="27.125" style="1" customWidth="1"/>
    <col min="13304" max="13304" width="29.375" style="1" customWidth="1"/>
    <col min="13305" max="13305" width="13.125" style="1" customWidth="1"/>
    <col min="13306" max="13306" width="7.125" style="1" customWidth="1"/>
    <col min="13307" max="13307" width="13.125" style="1" customWidth="1"/>
    <col min="13308" max="13308" width="16.125" style="1" customWidth="1"/>
    <col min="13309" max="13309" width="22.125" style="1" customWidth="1"/>
    <col min="13310" max="13557" width="9" style="1"/>
    <col min="13558" max="13558" width="8.125" style="1" customWidth="1"/>
    <col min="13559" max="13559" width="27.125" style="1" customWidth="1"/>
    <col min="13560" max="13560" width="29.375" style="1" customWidth="1"/>
    <col min="13561" max="13561" width="13.125" style="1" customWidth="1"/>
    <col min="13562" max="13562" width="7.125" style="1" customWidth="1"/>
    <col min="13563" max="13563" width="13.125" style="1" customWidth="1"/>
    <col min="13564" max="13564" width="16.125" style="1" customWidth="1"/>
    <col min="13565" max="13565" width="22.125" style="1" customWidth="1"/>
    <col min="13566" max="13813" width="9" style="1"/>
    <col min="13814" max="13814" width="8.125" style="1" customWidth="1"/>
    <col min="13815" max="13815" width="27.125" style="1" customWidth="1"/>
    <col min="13816" max="13816" width="29.375" style="1" customWidth="1"/>
    <col min="13817" max="13817" width="13.125" style="1" customWidth="1"/>
    <col min="13818" max="13818" width="7.125" style="1" customWidth="1"/>
    <col min="13819" max="13819" width="13.125" style="1" customWidth="1"/>
    <col min="13820" max="13820" width="16.125" style="1" customWidth="1"/>
    <col min="13821" max="13821" width="22.125" style="1" customWidth="1"/>
    <col min="13822" max="14069" width="9" style="1"/>
    <col min="14070" max="14070" width="8.125" style="1" customWidth="1"/>
    <col min="14071" max="14071" width="27.125" style="1" customWidth="1"/>
    <col min="14072" max="14072" width="29.375" style="1" customWidth="1"/>
    <col min="14073" max="14073" width="13.125" style="1" customWidth="1"/>
    <col min="14074" max="14074" width="7.125" style="1" customWidth="1"/>
    <col min="14075" max="14075" width="13.125" style="1" customWidth="1"/>
    <col min="14076" max="14076" width="16.125" style="1" customWidth="1"/>
    <col min="14077" max="14077" width="22.125" style="1" customWidth="1"/>
    <col min="14078" max="14325" width="9" style="1"/>
    <col min="14326" max="14326" width="8.125" style="1" customWidth="1"/>
    <col min="14327" max="14327" width="27.125" style="1" customWidth="1"/>
    <col min="14328" max="14328" width="29.375" style="1" customWidth="1"/>
    <col min="14329" max="14329" width="13.125" style="1" customWidth="1"/>
    <col min="14330" max="14330" width="7.125" style="1" customWidth="1"/>
    <col min="14331" max="14331" width="13.125" style="1" customWidth="1"/>
    <col min="14332" max="14332" width="16.125" style="1" customWidth="1"/>
    <col min="14333" max="14333" width="22.125" style="1" customWidth="1"/>
    <col min="14334" max="14581" width="9" style="1"/>
    <col min="14582" max="14582" width="8.125" style="1" customWidth="1"/>
    <col min="14583" max="14583" width="27.125" style="1" customWidth="1"/>
    <col min="14584" max="14584" width="29.375" style="1" customWidth="1"/>
    <col min="14585" max="14585" width="13.125" style="1" customWidth="1"/>
    <col min="14586" max="14586" width="7.125" style="1" customWidth="1"/>
    <col min="14587" max="14587" width="13.125" style="1" customWidth="1"/>
    <col min="14588" max="14588" width="16.125" style="1" customWidth="1"/>
    <col min="14589" max="14589" width="22.125" style="1" customWidth="1"/>
    <col min="14590" max="14837" width="9" style="1"/>
    <col min="14838" max="14838" width="8.125" style="1" customWidth="1"/>
    <col min="14839" max="14839" width="27.125" style="1" customWidth="1"/>
    <col min="14840" max="14840" width="29.375" style="1" customWidth="1"/>
    <col min="14841" max="14841" width="13.125" style="1" customWidth="1"/>
    <col min="14842" max="14842" width="7.125" style="1" customWidth="1"/>
    <col min="14843" max="14843" width="13.125" style="1" customWidth="1"/>
    <col min="14844" max="14844" width="16.125" style="1" customWidth="1"/>
    <col min="14845" max="14845" width="22.125" style="1" customWidth="1"/>
    <col min="14846" max="15093" width="9" style="1"/>
    <col min="15094" max="15094" width="8.125" style="1" customWidth="1"/>
    <col min="15095" max="15095" width="27.125" style="1" customWidth="1"/>
    <col min="15096" max="15096" width="29.375" style="1" customWidth="1"/>
    <col min="15097" max="15097" width="13.125" style="1" customWidth="1"/>
    <col min="15098" max="15098" width="7.125" style="1" customWidth="1"/>
    <col min="15099" max="15099" width="13.125" style="1" customWidth="1"/>
    <col min="15100" max="15100" width="16.125" style="1" customWidth="1"/>
    <col min="15101" max="15101" width="22.125" style="1" customWidth="1"/>
    <col min="15102" max="15349" width="9" style="1"/>
    <col min="15350" max="15350" width="8.125" style="1" customWidth="1"/>
    <col min="15351" max="15351" width="27.125" style="1" customWidth="1"/>
    <col min="15352" max="15352" width="29.375" style="1" customWidth="1"/>
    <col min="15353" max="15353" width="13.125" style="1" customWidth="1"/>
    <col min="15354" max="15354" width="7.125" style="1" customWidth="1"/>
    <col min="15355" max="15355" width="13.125" style="1" customWidth="1"/>
    <col min="15356" max="15356" width="16.125" style="1" customWidth="1"/>
    <col min="15357" max="15357" width="22.125" style="1" customWidth="1"/>
    <col min="15358" max="15605" width="9" style="1"/>
    <col min="15606" max="15606" width="8.125" style="1" customWidth="1"/>
    <col min="15607" max="15607" width="27.125" style="1" customWidth="1"/>
    <col min="15608" max="15608" width="29.375" style="1" customWidth="1"/>
    <col min="15609" max="15609" width="13.125" style="1" customWidth="1"/>
    <col min="15610" max="15610" width="7.125" style="1" customWidth="1"/>
    <col min="15611" max="15611" width="13.125" style="1" customWidth="1"/>
    <col min="15612" max="15612" width="16.125" style="1" customWidth="1"/>
    <col min="15613" max="15613" width="22.125" style="1" customWidth="1"/>
    <col min="15614" max="15861" width="9" style="1"/>
    <col min="15862" max="15862" width="8.125" style="1" customWidth="1"/>
    <col min="15863" max="15863" width="27.125" style="1" customWidth="1"/>
    <col min="15864" max="15864" width="29.375" style="1" customWidth="1"/>
    <col min="15865" max="15865" width="13.125" style="1" customWidth="1"/>
    <col min="15866" max="15866" width="7.125" style="1" customWidth="1"/>
    <col min="15867" max="15867" width="13.125" style="1" customWidth="1"/>
    <col min="15868" max="15868" width="16.125" style="1" customWidth="1"/>
    <col min="15869" max="15869" width="22.125" style="1" customWidth="1"/>
    <col min="15870" max="16117" width="9" style="1"/>
    <col min="16118" max="16118" width="8.125" style="1" customWidth="1"/>
    <col min="16119" max="16119" width="27.125" style="1" customWidth="1"/>
    <col min="16120" max="16120" width="29.375" style="1" customWidth="1"/>
    <col min="16121" max="16121" width="13.125" style="1" customWidth="1"/>
    <col min="16122" max="16122" width="7.125" style="1" customWidth="1"/>
    <col min="16123" max="16123" width="13.125" style="1" customWidth="1"/>
    <col min="16124" max="16124" width="16.125" style="1" customWidth="1"/>
    <col min="16125" max="16125" width="22.125" style="1" customWidth="1"/>
    <col min="16126" max="16384" width="9" style="1"/>
  </cols>
  <sheetData>
    <row r="1" spans="1:9" ht="17.25" customHeight="1">
      <c r="A1" s="777" t="s">
        <v>32</v>
      </c>
      <c r="B1" s="778"/>
      <c r="C1" s="781" t="s">
        <v>33</v>
      </c>
      <c r="D1" s="783" t="s">
        <v>34</v>
      </c>
      <c r="E1" s="781" t="s">
        <v>35</v>
      </c>
      <c r="F1" s="785" t="s">
        <v>36</v>
      </c>
      <c r="G1" s="785" t="s">
        <v>37</v>
      </c>
      <c r="H1" s="775" t="s">
        <v>38</v>
      </c>
    </row>
    <row r="2" spans="1:9" s="2" customFormat="1" ht="17.25" customHeight="1">
      <c r="A2" s="779"/>
      <c r="B2" s="780"/>
      <c r="C2" s="782"/>
      <c r="D2" s="784"/>
      <c r="E2" s="782"/>
      <c r="F2" s="786"/>
      <c r="G2" s="786"/>
      <c r="H2" s="776"/>
    </row>
    <row r="3" spans="1:9" s="12" customFormat="1" ht="14.45" customHeight="1">
      <c r="A3" s="4"/>
      <c r="B3" s="5"/>
      <c r="C3" s="6"/>
      <c r="D3" s="7"/>
      <c r="E3" s="8"/>
      <c r="F3" s="9"/>
      <c r="G3" s="9"/>
      <c r="H3" s="10"/>
      <c r="I3" s="2"/>
    </row>
    <row r="4" spans="1:9" s="2" customFormat="1" ht="14.45" customHeight="1">
      <c r="A4" s="13"/>
      <c r="B4" s="14" t="s">
        <v>320</v>
      </c>
      <c r="C4" s="15"/>
      <c r="D4" s="16"/>
      <c r="E4" s="17"/>
      <c r="F4" s="18"/>
      <c r="G4" s="18"/>
      <c r="H4" s="19"/>
    </row>
    <row r="5" spans="1:9" s="2" customFormat="1" ht="14.45" customHeight="1">
      <c r="A5" s="20"/>
      <c r="B5" s="5" t="s">
        <v>63</v>
      </c>
      <c r="C5" s="21" t="s">
        <v>63</v>
      </c>
      <c r="D5" s="22"/>
      <c r="E5" s="8"/>
      <c r="F5" s="9"/>
      <c r="G5" s="9"/>
      <c r="H5" s="10"/>
    </row>
    <row r="6" spans="1:9" s="2" customFormat="1" ht="14.45" customHeight="1">
      <c r="A6" s="13"/>
      <c r="B6" s="14" t="s">
        <v>64</v>
      </c>
      <c r="C6" s="24" t="s">
        <v>63</v>
      </c>
      <c r="D6" s="25"/>
      <c r="E6" s="17"/>
      <c r="F6" s="18"/>
      <c r="G6" s="18"/>
      <c r="H6" s="19"/>
    </row>
    <row r="7" spans="1:9" s="2" customFormat="1" ht="14.45" customHeight="1">
      <c r="A7" s="20"/>
      <c r="B7" s="5" t="s">
        <v>63</v>
      </c>
      <c r="C7" s="21" t="s">
        <v>63</v>
      </c>
      <c r="D7" s="22"/>
      <c r="E7" s="8"/>
      <c r="F7" s="9"/>
      <c r="G7" s="9"/>
      <c r="H7" s="10"/>
    </row>
    <row r="8" spans="1:9" s="2" customFormat="1" ht="14.45" customHeight="1">
      <c r="A8" s="13"/>
      <c r="B8" s="14"/>
      <c r="C8" s="24"/>
      <c r="D8" s="25"/>
      <c r="E8" s="17"/>
      <c r="F8" s="18"/>
      <c r="G8" s="18"/>
      <c r="H8" s="19"/>
    </row>
    <row r="9" spans="1:9" s="2" customFormat="1" ht="14.45" customHeight="1">
      <c r="A9" s="20"/>
      <c r="B9" s="5" t="s">
        <v>63</v>
      </c>
      <c r="C9" s="21" t="s">
        <v>63</v>
      </c>
      <c r="D9" s="22"/>
      <c r="E9" s="8"/>
      <c r="F9" s="9"/>
      <c r="G9" s="9"/>
      <c r="H9" s="10"/>
    </row>
    <row r="10" spans="1:9" s="2" customFormat="1" ht="14.45" customHeight="1">
      <c r="A10" s="13"/>
      <c r="B10" s="14" t="s">
        <v>39</v>
      </c>
      <c r="C10" s="24" t="s">
        <v>63</v>
      </c>
      <c r="D10" s="25">
        <v>1</v>
      </c>
      <c r="E10" s="17" t="s">
        <v>5</v>
      </c>
      <c r="F10" s="18"/>
      <c r="G10" s="18">
        <f>電気設備工事!G36</f>
        <v>0</v>
      </c>
      <c r="H10" s="19"/>
    </row>
    <row r="11" spans="1:9" s="2" customFormat="1" ht="14.45" customHeight="1">
      <c r="A11" s="20"/>
      <c r="B11" s="5" t="s">
        <v>63</v>
      </c>
      <c r="C11" s="21" t="s">
        <v>63</v>
      </c>
      <c r="D11" s="22"/>
      <c r="E11" s="8"/>
      <c r="F11" s="9"/>
      <c r="G11" s="9"/>
      <c r="H11" s="10"/>
    </row>
    <row r="12" spans="1:9" s="2" customFormat="1" ht="14.45" customHeight="1">
      <c r="A12" s="13"/>
      <c r="B12" s="14"/>
      <c r="C12" s="24"/>
      <c r="D12" s="25"/>
      <c r="E12" s="17"/>
      <c r="F12" s="18"/>
      <c r="G12" s="18"/>
      <c r="H12" s="19"/>
    </row>
    <row r="13" spans="1:9" s="2" customFormat="1" ht="14.45" customHeight="1">
      <c r="A13" s="20"/>
      <c r="B13" s="5" t="s">
        <v>63</v>
      </c>
      <c r="C13" s="21" t="s">
        <v>63</v>
      </c>
      <c r="D13" s="22"/>
      <c r="E13" s="8"/>
      <c r="F13" s="9"/>
      <c r="G13" s="9"/>
      <c r="H13" s="10"/>
    </row>
    <row r="14" spans="1:9" s="2" customFormat="1" ht="14.45" customHeight="1">
      <c r="A14" s="13"/>
      <c r="B14" s="54" t="s">
        <v>40</v>
      </c>
      <c r="C14" s="24" t="s">
        <v>63</v>
      </c>
      <c r="D14" s="25" t="s">
        <v>63</v>
      </c>
      <c r="E14" s="17" t="s">
        <v>63</v>
      </c>
      <c r="F14" s="18"/>
      <c r="G14" s="18">
        <f>SUM(G7:G12)</f>
        <v>0</v>
      </c>
      <c r="H14" s="19"/>
    </row>
    <row r="15" spans="1:9" s="2" customFormat="1" ht="14.45" customHeight="1">
      <c r="A15" s="20"/>
      <c r="B15" s="5" t="s">
        <v>63</v>
      </c>
      <c r="C15" s="21" t="s">
        <v>63</v>
      </c>
      <c r="D15" s="22"/>
      <c r="E15" s="8"/>
      <c r="F15" s="9"/>
      <c r="G15" s="767"/>
      <c r="H15" s="768"/>
    </row>
    <row r="16" spans="1:9" s="2" customFormat="1" ht="14.45" customHeight="1">
      <c r="A16" s="13"/>
      <c r="B16" s="14" t="s">
        <v>65</v>
      </c>
      <c r="C16" s="24" t="s">
        <v>63</v>
      </c>
      <c r="D16" s="25" t="s">
        <v>63</v>
      </c>
      <c r="E16" s="17" t="s">
        <v>63</v>
      </c>
      <c r="F16" s="18"/>
      <c r="G16" s="764"/>
      <c r="H16" s="769"/>
    </row>
    <row r="17" spans="1:8" s="2" customFormat="1" ht="14.45" customHeight="1">
      <c r="A17" s="20"/>
      <c r="B17" s="5" t="s">
        <v>63</v>
      </c>
      <c r="C17" s="21" t="s">
        <v>63</v>
      </c>
      <c r="D17" s="22"/>
      <c r="E17" s="8"/>
      <c r="F17" s="9"/>
      <c r="G17" s="767"/>
      <c r="H17" s="768"/>
    </row>
    <row r="18" spans="1:8" s="2" customFormat="1" ht="14.45" customHeight="1">
      <c r="A18" s="13"/>
      <c r="B18" s="14" t="s">
        <v>66</v>
      </c>
      <c r="C18" s="771"/>
      <c r="D18" s="25">
        <v>1</v>
      </c>
      <c r="E18" s="17" t="s">
        <v>5</v>
      </c>
      <c r="F18" s="18"/>
      <c r="G18" s="764"/>
      <c r="H18" s="770"/>
    </row>
    <row r="19" spans="1:8" s="2" customFormat="1" ht="14.45" customHeight="1">
      <c r="A19" s="20"/>
      <c r="B19" s="5" t="s">
        <v>63</v>
      </c>
      <c r="C19" s="21"/>
      <c r="D19" s="22"/>
      <c r="E19" s="8"/>
      <c r="F19" s="9"/>
      <c r="G19" s="767"/>
      <c r="H19" s="768"/>
    </row>
    <row r="20" spans="1:8" s="2" customFormat="1" ht="14.45" customHeight="1">
      <c r="A20" s="13"/>
      <c r="B20" s="14" t="s">
        <v>67</v>
      </c>
      <c r="C20" s="771"/>
      <c r="D20" s="25">
        <v>1</v>
      </c>
      <c r="E20" s="17" t="s">
        <v>5</v>
      </c>
      <c r="F20" s="18"/>
      <c r="G20" s="772"/>
      <c r="H20" s="770"/>
    </row>
    <row r="21" spans="1:8" s="2" customFormat="1" ht="14.45" customHeight="1">
      <c r="A21" s="20"/>
      <c r="B21" s="5" t="s">
        <v>63</v>
      </c>
      <c r="C21" s="21"/>
      <c r="D21" s="22"/>
      <c r="E21" s="8"/>
      <c r="F21" s="9"/>
      <c r="G21" s="767"/>
      <c r="H21" s="768"/>
    </row>
    <row r="22" spans="1:8" s="2" customFormat="1" ht="14.45" customHeight="1">
      <c r="A22" s="13"/>
      <c r="B22" s="14" t="s">
        <v>68</v>
      </c>
      <c r="C22" s="771"/>
      <c r="D22" s="25">
        <v>1</v>
      </c>
      <c r="E22" s="17" t="s">
        <v>5</v>
      </c>
      <c r="F22" s="18"/>
      <c r="G22" s="772"/>
      <c r="H22" s="770"/>
    </row>
    <row r="23" spans="1:8" s="2" customFormat="1" ht="14.45" customHeight="1">
      <c r="A23" s="20"/>
      <c r="B23" s="5" t="s">
        <v>63</v>
      </c>
      <c r="C23" s="21"/>
      <c r="D23" s="22"/>
      <c r="E23" s="8"/>
      <c r="F23" s="9"/>
      <c r="G23" s="767"/>
      <c r="H23" s="774"/>
    </row>
    <row r="24" spans="1:8" s="2" customFormat="1" ht="14.45" customHeight="1">
      <c r="A24" s="13"/>
      <c r="B24" s="54" t="s">
        <v>40</v>
      </c>
      <c r="C24" s="24" t="s">
        <v>63</v>
      </c>
      <c r="D24" s="25" t="s">
        <v>63</v>
      </c>
      <c r="E24" s="17" t="s">
        <v>63</v>
      </c>
      <c r="F24" s="18"/>
      <c r="G24" s="764">
        <f>SUM(G17:G23)</f>
        <v>0</v>
      </c>
      <c r="H24" s="773"/>
    </row>
    <row r="25" spans="1:8" s="2" customFormat="1" ht="14.45" customHeight="1">
      <c r="A25" s="20"/>
      <c r="B25" s="5" t="s">
        <v>63</v>
      </c>
      <c r="C25" s="21" t="s">
        <v>63</v>
      </c>
      <c r="D25" s="22"/>
      <c r="E25" s="8"/>
      <c r="F25" s="9"/>
      <c r="G25" s="9"/>
      <c r="H25" s="10"/>
    </row>
    <row r="26" spans="1:8" s="2" customFormat="1" ht="14.45" customHeight="1">
      <c r="A26" s="13"/>
      <c r="B26" s="54"/>
      <c r="C26" s="24" t="s">
        <v>63</v>
      </c>
      <c r="D26" s="25" t="s">
        <v>63</v>
      </c>
      <c r="E26" s="17" t="s">
        <v>63</v>
      </c>
      <c r="F26" s="18"/>
      <c r="G26" s="18"/>
      <c r="H26" s="19"/>
    </row>
    <row r="27" spans="1:8" s="2" customFormat="1" ht="14.45" customHeight="1">
      <c r="A27" s="20"/>
      <c r="B27" s="5"/>
      <c r="C27" s="21"/>
      <c r="D27" s="22"/>
      <c r="E27" s="8"/>
      <c r="F27" s="9"/>
      <c r="G27" s="9"/>
      <c r="H27" s="10"/>
    </row>
    <row r="28" spans="1:8" s="2" customFormat="1" ht="14.45" customHeight="1">
      <c r="A28" s="13"/>
      <c r="B28" s="55" t="s">
        <v>69</v>
      </c>
      <c r="C28" s="24"/>
      <c r="D28" s="25"/>
      <c r="E28" s="17"/>
      <c r="F28" s="18"/>
      <c r="G28" s="18">
        <f>G14+G24</f>
        <v>0</v>
      </c>
      <c r="H28" s="19"/>
    </row>
    <row r="29" spans="1:8" s="2" customFormat="1" ht="14.45" customHeight="1">
      <c r="A29" s="20"/>
      <c r="B29" s="5"/>
      <c r="C29" s="21"/>
      <c r="D29" s="22"/>
      <c r="E29" s="8"/>
      <c r="F29" s="9"/>
      <c r="G29" s="767"/>
      <c r="H29" s="768"/>
    </row>
    <row r="30" spans="1:8" s="2" customFormat="1" ht="14.45" customHeight="1">
      <c r="A30" s="13"/>
      <c r="B30" s="14"/>
      <c r="C30" s="24"/>
      <c r="D30" s="25"/>
      <c r="E30" s="17"/>
      <c r="F30" s="18"/>
      <c r="G30" s="764"/>
      <c r="H30" s="769"/>
    </row>
    <row r="31" spans="1:8" s="2" customFormat="1" ht="14.45" customHeight="1">
      <c r="A31" s="20"/>
      <c r="B31" s="5" t="s">
        <v>63</v>
      </c>
      <c r="C31" s="21" t="s">
        <v>63</v>
      </c>
      <c r="D31" s="22"/>
      <c r="E31" s="8"/>
      <c r="F31" s="9"/>
      <c r="G31" s="767"/>
      <c r="H31" s="768"/>
    </row>
    <row r="32" spans="1:8" s="2" customFormat="1" ht="14.45" customHeight="1">
      <c r="A32" s="13"/>
      <c r="B32" s="14" t="s">
        <v>70</v>
      </c>
      <c r="C32" s="24" t="s">
        <v>63</v>
      </c>
      <c r="D32" s="25">
        <v>1</v>
      </c>
      <c r="E32" s="17" t="s">
        <v>5</v>
      </c>
      <c r="F32" s="18"/>
      <c r="G32" s="764">
        <f>ROUND(G28*0.1,0)</f>
        <v>0</v>
      </c>
      <c r="H32" s="765"/>
    </row>
    <row r="33" spans="1:8" s="2" customFormat="1" ht="14.45" customHeight="1">
      <c r="A33" s="20"/>
      <c r="B33" s="5" t="s">
        <v>63</v>
      </c>
      <c r="C33" s="21" t="s">
        <v>63</v>
      </c>
      <c r="D33" s="22"/>
      <c r="E33" s="8"/>
      <c r="F33" s="9"/>
      <c r="G33" s="9"/>
      <c r="H33" s="10"/>
    </row>
    <row r="34" spans="1:8" s="2" customFormat="1" ht="14.45" customHeight="1">
      <c r="A34" s="13"/>
      <c r="B34" s="14"/>
      <c r="C34" s="24"/>
      <c r="D34" s="25"/>
      <c r="E34" s="17"/>
      <c r="F34" s="18"/>
      <c r="G34" s="18"/>
      <c r="H34" s="19"/>
    </row>
    <row r="35" spans="1:8" s="2" customFormat="1" ht="14.45" customHeight="1">
      <c r="A35" s="20"/>
      <c r="B35" s="5"/>
      <c r="C35" s="21"/>
      <c r="D35" s="22"/>
      <c r="E35" s="8"/>
      <c r="F35" s="9"/>
      <c r="G35" s="9"/>
      <c r="H35" s="10"/>
    </row>
    <row r="36" spans="1:8" s="2" customFormat="1" ht="14.45" customHeight="1">
      <c r="A36" s="28"/>
      <c r="B36" s="56" t="s">
        <v>71</v>
      </c>
      <c r="C36" s="30"/>
      <c r="D36" s="31"/>
      <c r="E36" s="29"/>
      <c r="F36" s="32"/>
      <c r="G36" s="32">
        <f>G28+G32</f>
        <v>0</v>
      </c>
      <c r="H36" s="33"/>
    </row>
    <row r="37" spans="1:8" s="2" customFormat="1" ht="14.45" customHeight="1">
      <c r="A37" s="34"/>
      <c r="B37" s="35"/>
      <c r="C37" s="36"/>
      <c r="D37" s="37"/>
      <c r="E37" s="38"/>
      <c r="F37" s="39"/>
      <c r="G37" s="39"/>
      <c r="H37" s="40"/>
    </row>
    <row r="38" spans="1:8" s="2" customFormat="1" ht="14.45" customHeight="1">
      <c r="A38" s="23"/>
      <c r="B38" s="14"/>
      <c r="C38" s="24"/>
      <c r="D38" s="25"/>
      <c r="E38" s="17"/>
      <c r="F38" s="18"/>
      <c r="G38" s="18"/>
      <c r="H38" s="19"/>
    </row>
    <row r="39" spans="1:8" s="2" customFormat="1" ht="14.45" customHeight="1">
      <c r="A39" s="41"/>
      <c r="B39" s="5"/>
      <c r="C39" s="21"/>
      <c r="D39" s="22"/>
      <c r="E39" s="8"/>
      <c r="F39" s="9"/>
      <c r="G39" s="9"/>
      <c r="H39" s="10"/>
    </row>
    <row r="40" spans="1:8" s="2" customFormat="1" ht="14.45" customHeight="1">
      <c r="A40" s="23"/>
      <c r="B40" s="14"/>
      <c r="C40" s="24"/>
      <c r="D40" s="25"/>
      <c r="E40" s="17"/>
      <c r="F40" s="18"/>
      <c r="G40" s="18"/>
      <c r="H40" s="19"/>
    </row>
    <row r="41" spans="1:8" s="2" customFormat="1" ht="14.45" customHeight="1">
      <c r="A41" s="41"/>
      <c r="B41" s="5"/>
      <c r="C41" s="21"/>
      <c r="D41" s="22"/>
      <c r="E41" s="8"/>
      <c r="F41" s="9"/>
      <c r="G41" s="9"/>
      <c r="H41" s="10"/>
    </row>
    <row r="42" spans="1:8" s="2" customFormat="1" ht="14.45" customHeight="1">
      <c r="A42" s="23"/>
      <c r="B42" s="14"/>
      <c r="C42" s="24"/>
      <c r="D42" s="25"/>
      <c r="E42" s="17"/>
      <c r="F42" s="18"/>
      <c r="G42" s="18"/>
      <c r="H42" s="19"/>
    </row>
    <row r="43" spans="1:8" s="2" customFormat="1" ht="14.45" customHeight="1">
      <c r="A43" s="41"/>
      <c r="B43" s="5"/>
      <c r="C43" s="21"/>
      <c r="D43" s="22"/>
      <c r="E43" s="8"/>
      <c r="F43" s="9"/>
      <c r="G43" s="9"/>
      <c r="H43" s="10"/>
    </row>
    <row r="44" spans="1:8" s="2" customFormat="1" ht="14.45" customHeight="1">
      <c r="A44" s="23"/>
      <c r="B44" s="14"/>
      <c r="C44" s="24"/>
      <c r="D44" s="25"/>
      <c r="E44" s="17"/>
      <c r="F44" s="18"/>
      <c r="G44" s="18"/>
      <c r="H44" s="19"/>
    </row>
    <row r="45" spans="1:8" s="2" customFormat="1" ht="14.45" customHeight="1">
      <c r="A45" s="41"/>
      <c r="B45" s="5"/>
      <c r="C45" s="21"/>
      <c r="D45" s="22"/>
      <c r="E45" s="8"/>
      <c r="F45" s="9"/>
      <c r="G45" s="9"/>
      <c r="H45" s="10"/>
    </row>
    <row r="46" spans="1:8" s="2" customFormat="1" ht="14.45" customHeight="1">
      <c r="A46" s="23"/>
      <c r="B46" s="14"/>
      <c r="C46" s="24"/>
      <c r="D46" s="25"/>
      <c r="E46" s="17"/>
      <c r="F46" s="18"/>
      <c r="G46" s="18"/>
      <c r="H46" s="19"/>
    </row>
    <row r="47" spans="1:8" s="2" customFormat="1" ht="14.45" customHeight="1">
      <c r="A47" s="41"/>
      <c r="B47" s="5"/>
      <c r="C47" s="21"/>
      <c r="D47" s="22"/>
      <c r="E47" s="8"/>
      <c r="F47" s="9"/>
      <c r="G47" s="9"/>
      <c r="H47" s="10"/>
    </row>
    <row r="48" spans="1:8" s="2" customFormat="1" ht="14.45" customHeight="1">
      <c r="A48" s="23"/>
      <c r="B48" s="14"/>
      <c r="C48" s="24"/>
      <c r="D48" s="25"/>
      <c r="E48" s="17"/>
      <c r="F48" s="18"/>
      <c r="G48" s="18"/>
      <c r="H48" s="19"/>
    </row>
    <row r="49" spans="1:8" s="2" customFormat="1" ht="14.45" customHeight="1">
      <c r="A49" s="41"/>
      <c r="B49" s="5"/>
      <c r="C49" s="21"/>
      <c r="D49" s="22"/>
      <c r="E49" s="8"/>
      <c r="F49" s="9"/>
      <c r="G49" s="9"/>
      <c r="H49" s="10"/>
    </row>
    <row r="50" spans="1:8" s="2" customFormat="1" ht="14.45" customHeight="1">
      <c r="A50" s="23"/>
      <c r="B50" s="14"/>
      <c r="C50" s="24"/>
      <c r="D50" s="25"/>
      <c r="E50" s="17"/>
      <c r="F50" s="18"/>
      <c r="G50" s="18"/>
      <c r="H50" s="19"/>
    </row>
    <row r="51" spans="1:8" s="2" customFormat="1" ht="14.45" customHeight="1">
      <c r="A51" s="41"/>
      <c r="B51" s="5"/>
      <c r="C51" s="21"/>
      <c r="D51" s="22"/>
      <c r="E51" s="8"/>
      <c r="F51" s="9"/>
      <c r="G51" s="9"/>
      <c r="H51" s="10"/>
    </row>
    <row r="52" spans="1:8" s="2" customFormat="1" ht="14.45" customHeight="1">
      <c r="A52" s="23"/>
      <c r="B52" s="14"/>
      <c r="C52" s="24"/>
      <c r="D52" s="25"/>
      <c r="E52" s="17"/>
      <c r="F52" s="18"/>
      <c r="G52" s="18"/>
      <c r="H52" s="19"/>
    </row>
    <row r="53" spans="1:8" s="2" customFormat="1" ht="14.45" customHeight="1">
      <c r="A53" s="41"/>
      <c r="B53" s="5"/>
      <c r="C53" s="21"/>
      <c r="D53" s="22"/>
      <c r="E53" s="8"/>
      <c r="F53" s="9"/>
      <c r="G53" s="9"/>
      <c r="H53" s="10"/>
    </row>
    <row r="54" spans="1:8" s="2" customFormat="1" ht="14.45" customHeight="1">
      <c r="A54" s="23"/>
      <c r="B54" s="14"/>
      <c r="C54" s="24"/>
      <c r="D54" s="25"/>
      <c r="E54" s="17"/>
      <c r="F54" s="18"/>
      <c r="G54" s="18"/>
      <c r="H54" s="19"/>
    </row>
    <row r="55" spans="1:8" s="2" customFormat="1" ht="14.45" customHeight="1">
      <c r="A55" s="41"/>
      <c r="B55" s="5"/>
      <c r="C55" s="21"/>
      <c r="D55" s="22"/>
      <c r="E55" s="8"/>
      <c r="F55" s="9"/>
      <c r="G55" s="9"/>
      <c r="H55" s="10"/>
    </row>
    <row r="56" spans="1:8" s="2" customFormat="1" ht="14.45" customHeight="1">
      <c r="A56" s="23"/>
      <c r="B56" s="14"/>
      <c r="C56" s="24"/>
      <c r="D56" s="25"/>
      <c r="E56" s="17"/>
      <c r="F56" s="18"/>
      <c r="G56" s="18"/>
      <c r="H56" s="19"/>
    </row>
    <row r="57" spans="1:8" s="2" customFormat="1" ht="14.45" customHeight="1">
      <c r="A57" s="41"/>
      <c r="B57" s="5"/>
      <c r="C57" s="21"/>
      <c r="D57" s="22"/>
      <c r="E57" s="8"/>
      <c r="F57" s="9"/>
      <c r="G57" s="9"/>
      <c r="H57" s="10"/>
    </row>
    <row r="58" spans="1:8" s="2" customFormat="1" ht="14.45" customHeight="1">
      <c r="A58" s="23"/>
      <c r="B58" s="14"/>
      <c r="C58" s="24"/>
      <c r="D58" s="25"/>
      <c r="E58" s="17"/>
      <c r="F58" s="18"/>
      <c r="G58" s="18"/>
      <c r="H58" s="19"/>
    </row>
    <row r="59" spans="1:8" s="2" customFormat="1" ht="14.45" customHeight="1">
      <c r="A59" s="41"/>
      <c r="B59" s="5"/>
      <c r="C59" s="21"/>
      <c r="D59" s="22"/>
      <c r="E59" s="8"/>
      <c r="F59" s="9"/>
      <c r="G59" s="9"/>
      <c r="H59" s="10"/>
    </row>
    <row r="60" spans="1:8" s="2" customFormat="1" ht="14.45" customHeight="1">
      <c r="A60" s="23"/>
      <c r="B60" s="14"/>
      <c r="C60" s="24"/>
      <c r="D60" s="25"/>
      <c r="E60" s="17"/>
      <c r="F60" s="18"/>
      <c r="G60" s="18"/>
      <c r="H60" s="19"/>
    </row>
    <row r="61" spans="1:8" s="2" customFormat="1" ht="14.45" customHeight="1">
      <c r="A61" s="41"/>
      <c r="B61" s="5"/>
      <c r="C61" s="21"/>
      <c r="D61" s="22"/>
      <c r="E61" s="8"/>
      <c r="F61" s="9"/>
      <c r="G61" s="9"/>
      <c r="H61" s="10"/>
    </row>
    <row r="62" spans="1:8" s="2" customFormat="1" ht="14.45" customHeight="1">
      <c r="A62" s="23"/>
      <c r="B62" s="14"/>
      <c r="C62" s="24"/>
      <c r="D62" s="25"/>
      <c r="E62" s="17"/>
      <c r="F62" s="18"/>
      <c r="G62" s="18"/>
      <c r="H62" s="19"/>
    </row>
    <row r="63" spans="1:8" s="2" customFormat="1" ht="14.45" customHeight="1">
      <c r="A63" s="41"/>
      <c r="B63" s="5"/>
      <c r="C63" s="21"/>
      <c r="D63" s="22"/>
      <c r="E63" s="8"/>
      <c r="F63" s="9"/>
      <c r="G63" s="9"/>
      <c r="H63" s="10"/>
    </row>
    <row r="64" spans="1:8" s="2" customFormat="1" ht="14.45" customHeight="1">
      <c r="A64" s="23"/>
      <c r="B64" s="14"/>
      <c r="C64" s="24"/>
      <c r="D64" s="25"/>
      <c r="E64" s="17"/>
      <c r="F64" s="18"/>
      <c r="G64" s="18"/>
      <c r="H64" s="19"/>
    </row>
    <row r="65" spans="1:8" s="2" customFormat="1" ht="14.45" customHeight="1">
      <c r="A65" s="41"/>
      <c r="B65" s="5"/>
      <c r="C65" s="21"/>
      <c r="D65" s="22"/>
      <c r="E65" s="8"/>
      <c r="F65" s="9"/>
      <c r="G65" s="9"/>
      <c r="H65" s="10"/>
    </row>
    <row r="66" spans="1:8" s="2" customFormat="1" ht="14.45" customHeight="1">
      <c r="A66" s="23"/>
      <c r="B66" s="14"/>
      <c r="C66" s="24"/>
      <c r="D66" s="25"/>
      <c r="E66" s="17"/>
      <c r="F66" s="18"/>
      <c r="G66" s="18"/>
      <c r="H66" s="19"/>
    </row>
    <row r="67" spans="1:8" s="2" customFormat="1" ht="14.45" customHeight="1">
      <c r="A67" s="41"/>
      <c r="B67" s="5"/>
      <c r="C67" s="21"/>
      <c r="D67" s="22"/>
      <c r="E67" s="8"/>
      <c r="F67" s="9"/>
      <c r="G67" s="9"/>
      <c r="H67" s="10"/>
    </row>
    <row r="68" spans="1:8" s="2" customFormat="1" ht="14.45" customHeight="1">
      <c r="A68" s="23"/>
      <c r="B68" s="14"/>
      <c r="C68" s="24"/>
      <c r="D68" s="25"/>
      <c r="E68" s="17"/>
      <c r="F68" s="18"/>
      <c r="G68" s="18"/>
      <c r="H68" s="19"/>
    </row>
    <row r="69" spans="1:8" s="2" customFormat="1" ht="14.45" customHeight="1">
      <c r="A69" s="41"/>
      <c r="B69" s="5"/>
      <c r="C69" s="21"/>
      <c r="D69" s="22"/>
      <c r="E69" s="8"/>
      <c r="F69" s="9"/>
      <c r="G69" s="9"/>
      <c r="H69" s="10"/>
    </row>
    <row r="70" spans="1:8" s="2" customFormat="1" ht="14.45" customHeight="1">
      <c r="A70" s="42"/>
      <c r="B70" s="44"/>
      <c r="C70" s="30"/>
      <c r="D70" s="31"/>
      <c r="E70" s="29"/>
      <c r="F70" s="32"/>
      <c r="G70" s="32"/>
      <c r="H70" s="33"/>
    </row>
    <row r="71" spans="1:8" ht="14.25" customHeight="1">
      <c r="A71" s="43"/>
      <c r="B71" s="43"/>
      <c r="C71" s="43"/>
      <c r="D71" s="43"/>
      <c r="E71" s="43"/>
      <c r="F71" s="43"/>
      <c r="G71" s="43"/>
      <c r="H71" s="43"/>
    </row>
  </sheetData>
  <mergeCells count="7">
    <mergeCell ref="H1:H2"/>
    <mergeCell ref="A1:B2"/>
    <mergeCell ref="C1:C2"/>
    <mergeCell ref="D1:D2"/>
    <mergeCell ref="E1:E2"/>
    <mergeCell ref="F1:F2"/>
    <mergeCell ref="G1:G2"/>
  </mergeCells>
  <phoneticPr fontId="2"/>
  <printOptions horizontalCentered="1" verticalCentered="1"/>
  <pageMargins left="0.62992125984251968" right="0.55118110236220474" top="0.82677165354330717" bottom="0.74803149606299213" header="0.31496062992125984" footer="0.39370078740157483"/>
  <pageSetup paperSize="9" scale="87" orientation="landscape" r:id="rId1"/>
  <headerFooter alignWithMargins="0">
    <oddFooter>&amp;C&amp;"ＭＳ Ｐ明朝,標準"株式会社 ＮＴＴファシリティ－ズ&amp;R&amp;"ＭＳ Ｐ明朝,標準"&amp;UNo.        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EB21-831E-400A-BC41-77A8FE2A7E22}">
  <dimension ref="A1:R241"/>
  <sheetViews>
    <sheetView view="pageBreakPreview" zoomScaleNormal="100" zoomScaleSheetLayoutView="100" workbookViewId="0">
      <selection activeCell="C106" sqref="C106"/>
    </sheetView>
  </sheetViews>
  <sheetFormatPr defaultRowHeight="14.25" customHeight="1"/>
  <cols>
    <col min="1" max="1" width="8.125" style="1" customWidth="1"/>
    <col min="2" max="2" width="27.125" style="1" customWidth="1"/>
    <col min="3" max="3" width="29.375" style="1" customWidth="1"/>
    <col min="4" max="4" width="13.125" style="1" customWidth="1"/>
    <col min="5" max="5" width="7.125" style="1" customWidth="1"/>
    <col min="6" max="6" width="13.125" style="1" customWidth="1"/>
    <col min="7" max="7" width="16.125" style="1" customWidth="1"/>
    <col min="8" max="8" width="22.125" style="1" customWidth="1"/>
    <col min="9" max="256" width="9" style="1"/>
    <col min="257" max="257" width="8.125" style="1" customWidth="1"/>
    <col min="258" max="258" width="27.125" style="1" customWidth="1"/>
    <col min="259" max="259" width="29.375" style="1" customWidth="1"/>
    <col min="260" max="260" width="13.125" style="1" customWidth="1"/>
    <col min="261" max="261" width="7.125" style="1" customWidth="1"/>
    <col min="262" max="262" width="13.125" style="1" customWidth="1"/>
    <col min="263" max="263" width="16.125" style="1" customWidth="1"/>
    <col min="264" max="264" width="22.125" style="1" customWidth="1"/>
    <col min="265" max="512" width="9" style="1"/>
    <col min="513" max="513" width="8.125" style="1" customWidth="1"/>
    <col min="514" max="514" width="27.125" style="1" customWidth="1"/>
    <col min="515" max="515" width="29.375" style="1" customWidth="1"/>
    <col min="516" max="516" width="13.125" style="1" customWidth="1"/>
    <col min="517" max="517" width="7.125" style="1" customWidth="1"/>
    <col min="518" max="518" width="13.125" style="1" customWidth="1"/>
    <col min="519" max="519" width="16.125" style="1" customWidth="1"/>
    <col min="520" max="520" width="22.125" style="1" customWidth="1"/>
    <col min="521" max="768" width="9" style="1"/>
    <col min="769" max="769" width="8.125" style="1" customWidth="1"/>
    <col min="770" max="770" width="27.125" style="1" customWidth="1"/>
    <col min="771" max="771" width="29.375" style="1" customWidth="1"/>
    <col min="772" max="772" width="13.125" style="1" customWidth="1"/>
    <col min="773" max="773" width="7.125" style="1" customWidth="1"/>
    <col min="774" max="774" width="13.125" style="1" customWidth="1"/>
    <col min="775" max="775" width="16.125" style="1" customWidth="1"/>
    <col min="776" max="776" width="22.125" style="1" customWidth="1"/>
    <col min="777" max="1024" width="9" style="1"/>
    <col min="1025" max="1025" width="8.125" style="1" customWidth="1"/>
    <col min="1026" max="1026" width="27.125" style="1" customWidth="1"/>
    <col min="1027" max="1027" width="29.375" style="1" customWidth="1"/>
    <col min="1028" max="1028" width="13.125" style="1" customWidth="1"/>
    <col min="1029" max="1029" width="7.125" style="1" customWidth="1"/>
    <col min="1030" max="1030" width="13.125" style="1" customWidth="1"/>
    <col min="1031" max="1031" width="16.125" style="1" customWidth="1"/>
    <col min="1032" max="1032" width="22.125" style="1" customWidth="1"/>
    <col min="1033" max="1280" width="9" style="1"/>
    <col min="1281" max="1281" width="8.125" style="1" customWidth="1"/>
    <col min="1282" max="1282" width="27.125" style="1" customWidth="1"/>
    <col min="1283" max="1283" width="29.375" style="1" customWidth="1"/>
    <col min="1284" max="1284" width="13.125" style="1" customWidth="1"/>
    <col min="1285" max="1285" width="7.125" style="1" customWidth="1"/>
    <col min="1286" max="1286" width="13.125" style="1" customWidth="1"/>
    <col min="1287" max="1287" width="16.125" style="1" customWidth="1"/>
    <col min="1288" max="1288" width="22.125" style="1" customWidth="1"/>
    <col min="1289" max="1536" width="9" style="1"/>
    <col min="1537" max="1537" width="8.125" style="1" customWidth="1"/>
    <col min="1538" max="1538" width="27.125" style="1" customWidth="1"/>
    <col min="1539" max="1539" width="29.375" style="1" customWidth="1"/>
    <col min="1540" max="1540" width="13.125" style="1" customWidth="1"/>
    <col min="1541" max="1541" width="7.125" style="1" customWidth="1"/>
    <col min="1542" max="1542" width="13.125" style="1" customWidth="1"/>
    <col min="1543" max="1543" width="16.125" style="1" customWidth="1"/>
    <col min="1544" max="1544" width="22.125" style="1" customWidth="1"/>
    <col min="1545" max="1792" width="9" style="1"/>
    <col min="1793" max="1793" width="8.125" style="1" customWidth="1"/>
    <col min="1794" max="1794" width="27.125" style="1" customWidth="1"/>
    <col min="1795" max="1795" width="29.375" style="1" customWidth="1"/>
    <col min="1796" max="1796" width="13.125" style="1" customWidth="1"/>
    <col min="1797" max="1797" width="7.125" style="1" customWidth="1"/>
    <col min="1798" max="1798" width="13.125" style="1" customWidth="1"/>
    <col min="1799" max="1799" width="16.125" style="1" customWidth="1"/>
    <col min="1800" max="1800" width="22.125" style="1" customWidth="1"/>
    <col min="1801" max="2048" width="9" style="1"/>
    <col min="2049" max="2049" width="8.125" style="1" customWidth="1"/>
    <col min="2050" max="2050" width="27.125" style="1" customWidth="1"/>
    <col min="2051" max="2051" width="29.375" style="1" customWidth="1"/>
    <col min="2052" max="2052" width="13.125" style="1" customWidth="1"/>
    <col min="2053" max="2053" width="7.125" style="1" customWidth="1"/>
    <col min="2054" max="2054" width="13.125" style="1" customWidth="1"/>
    <col min="2055" max="2055" width="16.125" style="1" customWidth="1"/>
    <col min="2056" max="2056" width="22.125" style="1" customWidth="1"/>
    <col min="2057" max="2304" width="9" style="1"/>
    <col min="2305" max="2305" width="8.125" style="1" customWidth="1"/>
    <col min="2306" max="2306" width="27.125" style="1" customWidth="1"/>
    <col min="2307" max="2307" width="29.375" style="1" customWidth="1"/>
    <col min="2308" max="2308" width="13.125" style="1" customWidth="1"/>
    <col min="2309" max="2309" width="7.125" style="1" customWidth="1"/>
    <col min="2310" max="2310" width="13.125" style="1" customWidth="1"/>
    <col min="2311" max="2311" width="16.125" style="1" customWidth="1"/>
    <col min="2312" max="2312" width="22.125" style="1" customWidth="1"/>
    <col min="2313" max="2560" width="9" style="1"/>
    <col min="2561" max="2561" width="8.125" style="1" customWidth="1"/>
    <col min="2562" max="2562" width="27.125" style="1" customWidth="1"/>
    <col min="2563" max="2563" width="29.375" style="1" customWidth="1"/>
    <col min="2564" max="2564" width="13.125" style="1" customWidth="1"/>
    <col min="2565" max="2565" width="7.125" style="1" customWidth="1"/>
    <col min="2566" max="2566" width="13.125" style="1" customWidth="1"/>
    <col min="2567" max="2567" width="16.125" style="1" customWidth="1"/>
    <col min="2568" max="2568" width="22.125" style="1" customWidth="1"/>
    <col min="2569" max="2816" width="9" style="1"/>
    <col min="2817" max="2817" width="8.125" style="1" customWidth="1"/>
    <col min="2818" max="2818" width="27.125" style="1" customWidth="1"/>
    <col min="2819" max="2819" width="29.375" style="1" customWidth="1"/>
    <col min="2820" max="2820" width="13.125" style="1" customWidth="1"/>
    <col min="2821" max="2821" width="7.125" style="1" customWidth="1"/>
    <col min="2822" max="2822" width="13.125" style="1" customWidth="1"/>
    <col min="2823" max="2823" width="16.125" style="1" customWidth="1"/>
    <col min="2824" max="2824" width="22.125" style="1" customWidth="1"/>
    <col min="2825" max="3072" width="9" style="1"/>
    <col min="3073" max="3073" width="8.125" style="1" customWidth="1"/>
    <col min="3074" max="3074" width="27.125" style="1" customWidth="1"/>
    <col min="3075" max="3075" width="29.375" style="1" customWidth="1"/>
    <col min="3076" max="3076" width="13.125" style="1" customWidth="1"/>
    <col min="3077" max="3077" width="7.125" style="1" customWidth="1"/>
    <col min="3078" max="3078" width="13.125" style="1" customWidth="1"/>
    <col min="3079" max="3079" width="16.125" style="1" customWidth="1"/>
    <col min="3080" max="3080" width="22.125" style="1" customWidth="1"/>
    <col min="3081" max="3328" width="9" style="1"/>
    <col min="3329" max="3329" width="8.125" style="1" customWidth="1"/>
    <col min="3330" max="3330" width="27.125" style="1" customWidth="1"/>
    <col min="3331" max="3331" width="29.375" style="1" customWidth="1"/>
    <col min="3332" max="3332" width="13.125" style="1" customWidth="1"/>
    <col min="3333" max="3333" width="7.125" style="1" customWidth="1"/>
    <col min="3334" max="3334" width="13.125" style="1" customWidth="1"/>
    <col min="3335" max="3335" width="16.125" style="1" customWidth="1"/>
    <col min="3336" max="3336" width="22.125" style="1" customWidth="1"/>
    <col min="3337" max="3584" width="9" style="1"/>
    <col min="3585" max="3585" width="8.125" style="1" customWidth="1"/>
    <col min="3586" max="3586" width="27.125" style="1" customWidth="1"/>
    <col min="3587" max="3587" width="29.375" style="1" customWidth="1"/>
    <col min="3588" max="3588" width="13.125" style="1" customWidth="1"/>
    <col min="3589" max="3589" width="7.125" style="1" customWidth="1"/>
    <col min="3590" max="3590" width="13.125" style="1" customWidth="1"/>
    <col min="3591" max="3591" width="16.125" style="1" customWidth="1"/>
    <col min="3592" max="3592" width="22.125" style="1" customWidth="1"/>
    <col min="3593" max="3840" width="9" style="1"/>
    <col min="3841" max="3841" width="8.125" style="1" customWidth="1"/>
    <col min="3842" max="3842" width="27.125" style="1" customWidth="1"/>
    <col min="3843" max="3843" width="29.375" style="1" customWidth="1"/>
    <col min="3844" max="3844" width="13.125" style="1" customWidth="1"/>
    <col min="3845" max="3845" width="7.125" style="1" customWidth="1"/>
    <col min="3846" max="3846" width="13.125" style="1" customWidth="1"/>
    <col min="3847" max="3847" width="16.125" style="1" customWidth="1"/>
    <col min="3848" max="3848" width="22.125" style="1" customWidth="1"/>
    <col min="3849" max="4096" width="9" style="1"/>
    <col min="4097" max="4097" width="8.125" style="1" customWidth="1"/>
    <col min="4098" max="4098" width="27.125" style="1" customWidth="1"/>
    <col min="4099" max="4099" width="29.375" style="1" customWidth="1"/>
    <col min="4100" max="4100" width="13.125" style="1" customWidth="1"/>
    <col min="4101" max="4101" width="7.125" style="1" customWidth="1"/>
    <col min="4102" max="4102" width="13.125" style="1" customWidth="1"/>
    <col min="4103" max="4103" width="16.125" style="1" customWidth="1"/>
    <col min="4104" max="4104" width="22.125" style="1" customWidth="1"/>
    <col min="4105" max="4352" width="9" style="1"/>
    <col min="4353" max="4353" width="8.125" style="1" customWidth="1"/>
    <col min="4354" max="4354" width="27.125" style="1" customWidth="1"/>
    <col min="4355" max="4355" width="29.375" style="1" customWidth="1"/>
    <col min="4356" max="4356" width="13.125" style="1" customWidth="1"/>
    <col min="4357" max="4357" width="7.125" style="1" customWidth="1"/>
    <col min="4358" max="4358" width="13.125" style="1" customWidth="1"/>
    <col min="4359" max="4359" width="16.125" style="1" customWidth="1"/>
    <col min="4360" max="4360" width="22.125" style="1" customWidth="1"/>
    <col min="4361" max="4608" width="9" style="1"/>
    <col min="4609" max="4609" width="8.125" style="1" customWidth="1"/>
    <col min="4610" max="4610" width="27.125" style="1" customWidth="1"/>
    <col min="4611" max="4611" width="29.375" style="1" customWidth="1"/>
    <col min="4612" max="4612" width="13.125" style="1" customWidth="1"/>
    <col min="4613" max="4613" width="7.125" style="1" customWidth="1"/>
    <col min="4614" max="4614" width="13.125" style="1" customWidth="1"/>
    <col min="4615" max="4615" width="16.125" style="1" customWidth="1"/>
    <col min="4616" max="4616" width="22.125" style="1" customWidth="1"/>
    <col min="4617" max="4864" width="9" style="1"/>
    <col min="4865" max="4865" width="8.125" style="1" customWidth="1"/>
    <col min="4866" max="4866" width="27.125" style="1" customWidth="1"/>
    <col min="4867" max="4867" width="29.375" style="1" customWidth="1"/>
    <col min="4868" max="4868" width="13.125" style="1" customWidth="1"/>
    <col min="4869" max="4869" width="7.125" style="1" customWidth="1"/>
    <col min="4870" max="4870" width="13.125" style="1" customWidth="1"/>
    <col min="4871" max="4871" width="16.125" style="1" customWidth="1"/>
    <col min="4872" max="4872" width="22.125" style="1" customWidth="1"/>
    <col min="4873" max="5120" width="9" style="1"/>
    <col min="5121" max="5121" width="8.125" style="1" customWidth="1"/>
    <col min="5122" max="5122" width="27.125" style="1" customWidth="1"/>
    <col min="5123" max="5123" width="29.375" style="1" customWidth="1"/>
    <col min="5124" max="5124" width="13.125" style="1" customWidth="1"/>
    <col min="5125" max="5125" width="7.125" style="1" customWidth="1"/>
    <col min="5126" max="5126" width="13.125" style="1" customWidth="1"/>
    <col min="5127" max="5127" width="16.125" style="1" customWidth="1"/>
    <col min="5128" max="5128" width="22.125" style="1" customWidth="1"/>
    <col min="5129" max="5376" width="9" style="1"/>
    <col min="5377" max="5377" width="8.125" style="1" customWidth="1"/>
    <col min="5378" max="5378" width="27.125" style="1" customWidth="1"/>
    <col min="5379" max="5379" width="29.375" style="1" customWidth="1"/>
    <col min="5380" max="5380" width="13.125" style="1" customWidth="1"/>
    <col min="5381" max="5381" width="7.125" style="1" customWidth="1"/>
    <col min="5382" max="5382" width="13.125" style="1" customWidth="1"/>
    <col min="5383" max="5383" width="16.125" style="1" customWidth="1"/>
    <col min="5384" max="5384" width="22.125" style="1" customWidth="1"/>
    <col min="5385" max="5632" width="9" style="1"/>
    <col min="5633" max="5633" width="8.125" style="1" customWidth="1"/>
    <col min="5634" max="5634" width="27.125" style="1" customWidth="1"/>
    <col min="5635" max="5635" width="29.375" style="1" customWidth="1"/>
    <col min="5636" max="5636" width="13.125" style="1" customWidth="1"/>
    <col min="5637" max="5637" width="7.125" style="1" customWidth="1"/>
    <col min="5638" max="5638" width="13.125" style="1" customWidth="1"/>
    <col min="5639" max="5639" width="16.125" style="1" customWidth="1"/>
    <col min="5640" max="5640" width="22.125" style="1" customWidth="1"/>
    <col min="5641" max="5888" width="9" style="1"/>
    <col min="5889" max="5889" width="8.125" style="1" customWidth="1"/>
    <col min="5890" max="5890" width="27.125" style="1" customWidth="1"/>
    <col min="5891" max="5891" width="29.375" style="1" customWidth="1"/>
    <col min="5892" max="5892" width="13.125" style="1" customWidth="1"/>
    <col min="5893" max="5893" width="7.125" style="1" customWidth="1"/>
    <col min="5894" max="5894" width="13.125" style="1" customWidth="1"/>
    <col min="5895" max="5895" width="16.125" style="1" customWidth="1"/>
    <col min="5896" max="5896" width="22.125" style="1" customWidth="1"/>
    <col min="5897" max="6144" width="9" style="1"/>
    <col min="6145" max="6145" width="8.125" style="1" customWidth="1"/>
    <col min="6146" max="6146" width="27.125" style="1" customWidth="1"/>
    <col min="6147" max="6147" width="29.375" style="1" customWidth="1"/>
    <col min="6148" max="6148" width="13.125" style="1" customWidth="1"/>
    <col min="6149" max="6149" width="7.125" style="1" customWidth="1"/>
    <col min="6150" max="6150" width="13.125" style="1" customWidth="1"/>
    <col min="6151" max="6151" width="16.125" style="1" customWidth="1"/>
    <col min="6152" max="6152" width="22.125" style="1" customWidth="1"/>
    <col min="6153" max="6400" width="9" style="1"/>
    <col min="6401" max="6401" width="8.125" style="1" customWidth="1"/>
    <col min="6402" max="6402" width="27.125" style="1" customWidth="1"/>
    <col min="6403" max="6403" width="29.375" style="1" customWidth="1"/>
    <col min="6404" max="6404" width="13.125" style="1" customWidth="1"/>
    <col min="6405" max="6405" width="7.125" style="1" customWidth="1"/>
    <col min="6406" max="6406" width="13.125" style="1" customWidth="1"/>
    <col min="6407" max="6407" width="16.125" style="1" customWidth="1"/>
    <col min="6408" max="6408" width="22.125" style="1" customWidth="1"/>
    <col min="6409" max="6656" width="9" style="1"/>
    <col min="6657" max="6657" width="8.125" style="1" customWidth="1"/>
    <col min="6658" max="6658" width="27.125" style="1" customWidth="1"/>
    <col min="6659" max="6659" width="29.375" style="1" customWidth="1"/>
    <col min="6660" max="6660" width="13.125" style="1" customWidth="1"/>
    <col min="6661" max="6661" width="7.125" style="1" customWidth="1"/>
    <col min="6662" max="6662" width="13.125" style="1" customWidth="1"/>
    <col min="6663" max="6663" width="16.125" style="1" customWidth="1"/>
    <col min="6664" max="6664" width="22.125" style="1" customWidth="1"/>
    <col min="6665" max="6912" width="9" style="1"/>
    <col min="6913" max="6913" width="8.125" style="1" customWidth="1"/>
    <col min="6914" max="6914" width="27.125" style="1" customWidth="1"/>
    <col min="6915" max="6915" width="29.375" style="1" customWidth="1"/>
    <col min="6916" max="6916" width="13.125" style="1" customWidth="1"/>
    <col min="6917" max="6917" width="7.125" style="1" customWidth="1"/>
    <col min="6918" max="6918" width="13.125" style="1" customWidth="1"/>
    <col min="6919" max="6919" width="16.125" style="1" customWidth="1"/>
    <col min="6920" max="6920" width="22.125" style="1" customWidth="1"/>
    <col min="6921" max="7168" width="9" style="1"/>
    <col min="7169" max="7169" width="8.125" style="1" customWidth="1"/>
    <col min="7170" max="7170" width="27.125" style="1" customWidth="1"/>
    <col min="7171" max="7171" width="29.375" style="1" customWidth="1"/>
    <col min="7172" max="7172" width="13.125" style="1" customWidth="1"/>
    <col min="7173" max="7173" width="7.125" style="1" customWidth="1"/>
    <col min="7174" max="7174" width="13.125" style="1" customWidth="1"/>
    <col min="7175" max="7175" width="16.125" style="1" customWidth="1"/>
    <col min="7176" max="7176" width="22.125" style="1" customWidth="1"/>
    <col min="7177" max="7424" width="9" style="1"/>
    <col min="7425" max="7425" width="8.125" style="1" customWidth="1"/>
    <col min="7426" max="7426" width="27.125" style="1" customWidth="1"/>
    <col min="7427" max="7427" width="29.375" style="1" customWidth="1"/>
    <col min="7428" max="7428" width="13.125" style="1" customWidth="1"/>
    <col min="7429" max="7429" width="7.125" style="1" customWidth="1"/>
    <col min="7430" max="7430" width="13.125" style="1" customWidth="1"/>
    <col min="7431" max="7431" width="16.125" style="1" customWidth="1"/>
    <col min="7432" max="7432" width="22.125" style="1" customWidth="1"/>
    <col min="7433" max="7680" width="9" style="1"/>
    <col min="7681" max="7681" width="8.125" style="1" customWidth="1"/>
    <col min="7682" max="7682" width="27.125" style="1" customWidth="1"/>
    <col min="7683" max="7683" width="29.375" style="1" customWidth="1"/>
    <col min="7684" max="7684" width="13.125" style="1" customWidth="1"/>
    <col min="7685" max="7685" width="7.125" style="1" customWidth="1"/>
    <col min="7686" max="7686" width="13.125" style="1" customWidth="1"/>
    <col min="7687" max="7687" width="16.125" style="1" customWidth="1"/>
    <col min="7688" max="7688" width="22.125" style="1" customWidth="1"/>
    <col min="7689" max="7936" width="9" style="1"/>
    <col min="7937" max="7937" width="8.125" style="1" customWidth="1"/>
    <col min="7938" max="7938" width="27.125" style="1" customWidth="1"/>
    <col min="7939" max="7939" width="29.375" style="1" customWidth="1"/>
    <col min="7940" max="7940" width="13.125" style="1" customWidth="1"/>
    <col min="7941" max="7941" width="7.125" style="1" customWidth="1"/>
    <col min="7942" max="7942" width="13.125" style="1" customWidth="1"/>
    <col min="7943" max="7943" width="16.125" style="1" customWidth="1"/>
    <col min="7944" max="7944" width="22.125" style="1" customWidth="1"/>
    <col min="7945" max="8192" width="9" style="1"/>
    <col min="8193" max="8193" width="8.125" style="1" customWidth="1"/>
    <col min="8194" max="8194" width="27.125" style="1" customWidth="1"/>
    <col min="8195" max="8195" width="29.375" style="1" customWidth="1"/>
    <col min="8196" max="8196" width="13.125" style="1" customWidth="1"/>
    <col min="8197" max="8197" width="7.125" style="1" customWidth="1"/>
    <col min="8198" max="8198" width="13.125" style="1" customWidth="1"/>
    <col min="8199" max="8199" width="16.125" style="1" customWidth="1"/>
    <col min="8200" max="8200" width="22.125" style="1" customWidth="1"/>
    <col min="8201" max="8448" width="9" style="1"/>
    <col min="8449" max="8449" width="8.125" style="1" customWidth="1"/>
    <col min="8450" max="8450" width="27.125" style="1" customWidth="1"/>
    <col min="8451" max="8451" width="29.375" style="1" customWidth="1"/>
    <col min="8452" max="8452" width="13.125" style="1" customWidth="1"/>
    <col min="8453" max="8453" width="7.125" style="1" customWidth="1"/>
    <col min="8454" max="8454" width="13.125" style="1" customWidth="1"/>
    <col min="8455" max="8455" width="16.125" style="1" customWidth="1"/>
    <col min="8456" max="8456" width="22.125" style="1" customWidth="1"/>
    <col min="8457" max="8704" width="9" style="1"/>
    <col min="8705" max="8705" width="8.125" style="1" customWidth="1"/>
    <col min="8706" max="8706" width="27.125" style="1" customWidth="1"/>
    <col min="8707" max="8707" width="29.375" style="1" customWidth="1"/>
    <col min="8708" max="8708" width="13.125" style="1" customWidth="1"/>
    <col min="8709" max="8709" width="7.125" style="1" customWidth="1"/>
    <col min="8710" max="8710" width="13.125" style="1" customWidth="1"/>
    <col min="8711" max="8711" width="16.125" style="1" customWidth="1"/>
    <col min="8712" max="8712" width="22.125" style="1" customWidth="1"/>
    <col min="8713" max="8960" width="9" style="1"/>
    <col min="8961" max="8961" width="8.125" style="1" customWidth="1"/>
    <col min="8962" max="8962" width="27.125" style="1" customWidth="1"/>
    <col min="8963" max="8963" width="29.375" style="1" customWidth="1"/>
    <col min="8964" max="8964" width="13.125" style="1" customWidth="1"/>
    <col min="8965" max="8965" width="7.125" style="1" customWidth="1"/>
    <col min="8966" max="8966" width="13.125" style="1" customWidth="1"/>
    <col min="8967" max="8967" width="16.125" style="1" customWidth="1"/>
    <col min="8968" max="8968" width="22.125" style="1" customWidth="1"/>
    <col min="8969" max="9216" width="9" style="1"/>
    <col min="9217" max="9217" width="8.125" style="1" customWidth="1"/>
    <col min="9218" max="9218" width="27.125" style="1" customWidth="1"/>
    <col min="9219" max="9219" width="29.375" style="1" customWidth="1"/>
    <col min="9220" max="9220" width="13.125" style="1" customWidth="1"/>
    <col min="9221" max="9221" width="7.125" style="1" customWidth="1"/>
    <col min="9222" max="9222" width="13.125" style="1" customWidth="1"/>
    <col min="9223" max="9223" width="16.125" style="1" customWidth="1"/>
    <col min="9224" max="9224" width="22.125" style="1" customWidth="1"/>
    <col min="9225" max="9472" width="9" style="1"/>
    <col min="9473" max="9473" width="8.125" style="1" customWidth="1"/>
    <col min="9474" max="9474" width="27.125" style="1" customWidth="1"/>
    <col min="9475" max="9475" width="29.375" style="1" customWidth="1"/>
    <col min="9476" max="9476" width="13.125" style="1" customWidth="1"/>
    <col min="9477" max="9477" width="7.125" style="1" customWidth="1"/>
    <col min="9478" max="9478" width="13.125" style="1" customWidth="1"/>
    <col min="9479" max="9479" width="16.125" style="1" customWidth="1"/>
    <col min="9480" max="9480" width="22.125" style="1" customWidth="1"/>
    <col min="9481" max="9728" width="9" style="1"/>
    <col min="9729" max="9729" width="8.125" style="1" customWidth="1"/>
    <col min="9730" max="9730" width="27.125" style="1" customWidth="1"/>
    <col min="9731" max="9731" width="29.375" style="1" customWidth="1"/>
    <col min="9732" max="9732" width="13.125" style="1" customWidth="1"/>
    <col min="9733" max="9733" width="7.125" style="1" customWidth="1"/>
    <col min="9734" max="9734" width="13.125" style="1" customWidth="1"/>
    <col min="9735" max="9735" width="16.125" style="1" customWidth="1"/>
    <col min="9736" max="9736" width="22.125" style="1" customWidth="1"/>
    <col min="9737" max="9984" width="9" style="1"/>
    <col min="9985" max="9985" width="8.125" style="1" customWidth="1"/>
    <col min="9986" max="9986" width="27.125" style="1" customWidth="1"/>
    <col min="9987" max="9987" width="29.375" style="1" customWidth="1"/>
    <col min="9988" max="9988" width="13.125" style="1" customWidth="1"/>
    <col min="9989" max="9989" width="7.125" style="1" customWidth="1"/>
    <col min="9990" max="9990" width="13.125" style="1" customWidth="1"/>
    <col min="9991" max="9991" width="16.125" style="1" customWidth="1"/>
    <col min="9992" max="9992" width="22.125" style="1" customWidth="1"/>
    <col min="9993" max="10240" width="9" style="1"/>
    <col min="10241" max="10241" width="8.125" style="1" customWidth="1"/>
    <col min="10242" max="10242" width="27.125" style="1" customWidth="1"/>
    <col min="10243" max="10243" width="29.375" style="1" customWidth="1"/>
    <col min="10244" max="10244" width="13.125" style="1" customWidth="1"/>
    <col min="10245" max="10245" width="7.125" style="1" customWidth="1"/>
    <col min="10246" max="10246" width="13.125" style="1" customWidth="1"/>
    <col min="10247" max="10247" width="16.125" style="1" customWidth="1"/>
    <col min="10248" max="10248" width="22.125" style="1" customWidth="1"/>
    <col min="10249" max="10496" width="9" style="1"/>
    <col min="10497" max="10497" width="8.125" style="1" customWidth="1"/>
    <col min="10498" max="10498" width="27.125" style="1" customWidth="1"/>
    <col min="10499" max="10499" width="29.375" style="1" customWidth="1"/>
    <col min="10500" max="10500" width="13.125" style="1" customWidth="1"/>
    <col min="10501" max="10501" width="7.125" style="1" customWidth="1"/>
    <col min="10502" max="10502" width="13.125" style="1" customWidth="1"/>
    <col min="10503" max="10503" width="16.125" style="1" customWidth="1"/>
    <col min="10504" max="10504" width="22.125" style="1" customWidth="1"/>
    <col min="10505" max="10752" width="9" style="1"/>
    <col min="10753" max="10753" width="8.125" style="1" customWidth="1"/>
    <col min="10754" max="10754" width="27.125" style="1" customWidth="1"/>
    <col min="10755" max="10755" width="29.375" style="1" customWidth="1"/>
    <col min="10756" max="10756" width="13.125" style="1" customWidth="1"/>
    <col min="10757" max="10757" width="7.125" style="1" customWidth="1"/>
    <col min="10758" max="10758" width="13.125" style="1" customWidth="1"/>
    <col min="10759" max="10759" width="16.125" style="1" customWidth="1"/>
    <col min="10760" max="10760" width="22.125" style="1" customWidth="1"/>
    <col min="10761" max="11008" width="9" style="1"/>
    <col min="11009" max="11009" width="8.125" style="1" customWidth="1"/>
    <col min="11010" max="11010" width="27.125" style="1" customWidth="1"/>
    <col min="11011" max="11011" width="29.375" style="1" customWidth="1"/>
    <col min="11012" max="11012" width="13.125" style="1" customWidth="1"/>
    <col min="11013" max="11013" width="7.125" style="1" customWidth="1"/>
    <col min="11014" max="11014" width="13.125" style="1" customWidth="1"/>
    <col min="11015" max="11015" width="16.125" style="1" customWidth="1"/>
    <col min="11016" max="11016" width="22.125" style="1" customWidth="1"/>
    <col min="11017" max="11264" width="9" style="1"/>
    <col min="11265" max="11265" width="8.125" style="1" customWidth="1"/>
    <col min="11266" max="11266" width="27.125" style="1" customWidth="1"/>
    <col min="11267" max="11267" width="29.375" style="1" customWidth="1"/>
    <col min="11268" max="11268" width="13.125" style="1" customWidth="1"/>
    <col min="11269" max="11269" width="7.125" style="1" customWidth="1"/>
    <col min="11270" max="11270" width="13.125" style="1" customWidth="1"/>
    <col min="11271" max="11271" width="16.125" style="1" customWidth="1"/>
    <col min="11272" max="11272" width="22.125" style="1" customWidth="1"/>
    <col min="11273" max="11520" width="9" style="1"/>
    <col min="11521" max="11521" width="8.125" style="1" customWidth="1"/>
    <col min="11522" max="11522" width="27.125" style="1" customWidth="1"/>
    <col min="11523" max="11523" width="29.375" style="1" customWidth="1"/>
    <col min="11524" max="11524" width="13.125" style="1" customWidth="1"/>
    <col min="11525" max="11525" width="7.125" style="1" customWidth="1"/>
    <col min="11526" max="11526" width="13.125" style="1" customWidth="1"/>
    <col min="11527" max="11527" width="16.125" style="1" customWidth="1"/>
    <col min="11528" max="11528" width="22.125" style="1" customWidth="1"/>
    <col min="11529" max="11776" width="9" style="1"/>
    <col min="11777" max="11777" width="8.125" style="1" customWidth="1"/>
    <col min="11778" max="11778" width="27.125" style="1" customWidth="1"/>
    <col min="11779" max="11779" width="29.375" style="1" customWidth="1"/>
    <col min="11780" max="11780" width="13.125" style="1" customWidth="1"/>
    <col min="11781" max="11781" width="7.125" style="1" customWidth="1"/>
    <col min="11782" max="11782" width="13.125" style="1" customWidth="1"/>
    <col min="11783" max="11783" width="16.125" style="1" customWidth="1"/>
    <col min="11784" max="11784" width="22.125" style="1" customWidth="1"/>
    <col min="11785" max="12032" width="9" style="1"/>
    <col min="12033" max="12033" width="8.125" style="1" customWidth="1"/>
    <col min="12034" max="12034" width="27.125" style="1" customWidth="1"/>
    <col min="12035" max="12035" width="29.375" style="1" customWidth="1"/>
    <col min="12036" max="12036" width="13.125" style="1" customWidth="1"/>
    <col min="12037" max="12037" width="7.125" style="1" customWidth="1"/>
    <col min="12038" max="12038" width="13.125" style="1" customWidth="1"/>
    <col min="12039" max="12039" width="16.125" style="1" customWidth="1"/>
    <col min="12040" max="12040" width="22.125" style="1" customWidth="1"/>
    <col min="12041" max="12288" width="9" style="1"/>
    <col min="12289" max="12289" width="8.125" style="1" customWidth="1"/>
    <col min="12290" max="12290" width="27.125" style="1" customWidth="1"/>
    <col min="12291" max="12291" width="29.375" style="1" customWidth="1"/>
    <col min="12292" max="12292" width="13.125" style="1" customWidth="1"/>
    <col min="12293" max="12293" width="7.125" style="1" customWidth="1"/>
    <col min="12294" max="12294" width="13.125" style="1" customWidth="1"/>
    <col min="12295" max="12295" width="16.125" style="1" customWidth="1"/>
    <col min="12296" max="12296" width="22.125" style="1" customWidth="1"/>
    <col min="12297" max="12544" width="9" style="1"/>
    <col min="12545" max="12545" width="8.125" style="1" customWidth="1"/>
    <col min="12546" max="12546" width="27.125" style="1" customWidth="1"/>
    <col min="12547" max="12547" width="29.375" style="1" customWidth="1"/>
    <col min="12548" max="12548" width="13.125" style="1" customWidth="1"/>
    <col min="12549" max="12549" width="7.125" style="1" customWidth="1"/>
    <col min="12550" max="12550" width="13.125" style="1" customWidth="1"/>
    <col min="12551" max="12551" width="16.125" style="1" customWidth="1"/>
    <col min="12552" max="12552" width="22.125" style="1" customWidth="1"/>
    <col min="12553" max="12800" width="9" style="1"/>
    <col min="12801" max="12801" width="8.125" style="1" customWidth="1"/>
    <col min="12802" max="12802" width="27.125" style="1" customWidth="1"/>
    <col min="12803" max="12803" width="29.375" style="1" customWidth="1"/>
    <col min="12804" max="12804" width="13.125" style="1" customWidth="1"/>
    <col min="12805" max="12805" width="7.125" style="1" customWidth="1"/>
    <col min="12806" max="12806" width="13.125" style="1" customWidth="1"/>
    <col min="12807" max="12807" width="16.125" style="1" customWidth="1"/>
    <col min="12808" max="12808" width="22.125" style="1" customWidth="1"/>
    <col min="12809" max="13056" width="9" style="1"/>
    <col min="13057" max="13057" width="8.125" style="1" customWidth="1"/>
    <col min="13058" max="13058" width="27.125" style="1" customWidth="1"/>
    <col min="13059" max="13059" width="29.375" style="1" customWidth="1"/>
    <col min="13060" max="13060" width="13.125" style="1" customWidth="1"/>
    <col min="13061" max="13061" width="7.125" style="1" customWidth="1"/>
    <col min="13062" max="13062" width="13.125" style="1" customWidth="1"/>
    <col min="13063" max="13063" width="16.125" style="1" customWidth="1"/>
    <col min="13064" max="13064" width="22.125" style="1" customWidth="1"/>
    <col min="13065" max="13312" width="9" style="1"/>
    <col min="13313" max="13313" width="8.125" style="1" customWidth="1"/>
    <col min="13314" max="13314" width="27.125" style="1" customWidth="1"/>
    <col min="13315" max="13315" width="29.375" style="1" customWidth="1"/>
    <col min="13316" max="13316" width="13.125" style="1" customWidth="1"/>
    <col min="13317" max="13317" width="7.125" style="1" customWidth="1"/>
    <col min="13318" max="13318" width="13.125" style="1" customWidth="1"/>
    <col min="13319" max="13319" width="16.125" style="1" customWidth="1"/>
    <col min="13320" max="13320" width="22.125" style="1" customWidth="1"/>
    <col min="13321" max="13568" width="9" style="1"/>
    <col min="13569" max="13569" width="8.125" style="1" customWidth="1"/>
    <col min="13570" max="13570" width="27.125" style="1" customWidth="1"/>
    <col min="13571" max="13571" width="29.375" style="1" customWidth="1"/>
    <col min="13572" max="13572" width="13.125" style="1" customWidth="1"/>
    <col min="13573" max="13573" width="7.125" style="1" customWidth="1"/>
    <col min="13574" max="13574" width="13.125" style="1" customWidth="1"/>
    <col min="13575" max="13575" width="16.125" style="1" customWidth="1"/>
    <col min="13576" max="13576" width="22.125" style="1" customWidth="1"/>
    <col min="13577" max="13824" width="9" style="1"/>
    <col min="13825" max="13825" width="8.125" style="1" customWidth="1"/>
    <col min="13826" max="13826" width="27.125" style="1" customWidth="1"/>
    <col min="13827" max="13827" width="29.375" style="1" customWidth="1"/>
    <col min="13828" max="13828" width="13.125" style="1" customWidth="1"/>
    <col min="13829" max="13829" width="7.125" style="1" customWidth="1"/>
    <col min="13830" max="13830" width="13.125" style="1" customWidth="1"/>
    <col min="13831" max="13831" width="16.125" style="1" customWidth="1"/>
    <col min="13832" max="13832" width="22.125" style="1" customWidth="1"/>
    <col min="13833" max="14080" width="9" style="1"/>
    <col min="14081" max="14081" width="8.125" style="1" customWidth="1"/>
    <col min="14082" max="14082" width="27.125" style="1" customWidth="1"/>
    <col min="14083" max="14083" width="29.375" style="1" customWidth="1"/>
    <col min="14084" max="14084" width="13.125" style="1" customWidth="1"/>
    <col min="14085" max="14085" width="7.125" style="1" customWidth="1"/>
    <col min="14086" max="14086" width="13.125" style="1" customWidth="1"/>
    <col min="14087" max="14087" width="16.125" style="1" customWidth="1"/>
    <col min="14088" max="14088" width="22.125" style="1" customWidth="1"/>
    <col min="14089" max="14336" width="9" style="1"/>
    <col min="14337" max="14337" width="8.125" style="1" customWidth="1"/>
    <col min="14338" max="14338" width="27.125" style="1" customWidth="1"/>
    <col min="14339" max="14339" width="29.375" style="1" customWidth="1"/>
    <col min="14340" max="14340" width="13.125" style="1" customWidth="1"/>
    <col min="14341" max="14341" width="7.125" style="1" customWidth="1"/>
    <col min="14342" max="14342" width="13.125" style="1" customWidth="1"/>
    <col min="14343" max="14343" width="16.125" style="1" customWidth="1"/>
    <col min="14344" max="14344" width="22.125" style="1" customWidth="1"/>
    <col min="14345" max="14592" width="9" style="1"/>
    <col min="14593" max="14593" width="8.125" style="1" customWidth="1"/>
    <col min="14594" max="14594" width="27.125" style="1" customWidth="1"/>
    <col min="14595" max="14595" width="29.375" style="1" customWidth="1"/>
    <col min="14596" max="14596" width="13.125" style="1" customWidth="1"/>
    <col min="14597" max="14597" width="7.125" style="1" customWidth="1"/>
    <col min="14598" max="14598" width="13.125" style="1" customWidth="1"/>
    <col min="14599" max="14599" width="16.125" style="1" customWidth="1"/>
    <col min="14600" max="14600" width="22.125" style="1" customWidth="1"/>
    <col min="14601" max="14848" width="9" style="1"/>
    <col min="14849" max="14849" width="8.125" style="1" customWidth="1"/>
    <col min="14850" max="14850" width="27.125" style="1" customWidth="1"/>
    <col min="14851" max="14851" width="29.375" style="1" customWidth="1"/>
    <col min="14852" max="14852" width="13.125" style="1" customWidth="1"/>
    <col min="14853" max="14853" width="7.125" style="1" customWidth="1"/>
    <col min="14854" max="14854" width="13.125" style="1" customWidth="1"/>
    <col min="14855" max="14855" width="16.125" style="1" customWidth="1"/>
    <col min="14856" max="14856" width="22.125" style="1" customWidth="1"/>
    <col min="14857" max="15104" width="9" style="1"/>
    <col min="15105" max="15105" width="8.125" style="1" customWidth="1"/>
    <col min="15106" max="15106" width="27.125" style="1" customWidth="1"/>
    <col min="15107" max="15107" width="29.375" style="1" customWidth="1"/>
    <col min="15108" max="15108" width="13.125" style="1" customWidth="1"/>
    <col min="15109" max="15109" width="7.125" style="1" customWidth="1"/>
    <col min="15110" max="15110" width="13.125" style="1" customWidth="1"/>
    <col min="15111" max="15111" width="16.125" style="1" customWidth="1"/>
    <col min="15112" max="15112" width="22.125" style="1" customWidth="1"/>
    <col min="15113" max="15360" width="9" style="1"/>
    <col min="15361" max="15361" width="8.125" style="1" customWidth="1"/>
    <col min="15362" max="15362" width="27.125" style="1" customWidth="1"/>
    <col min="15363" max="15363" width="29.375" style="1" customWidth="1"/>
    <col min="15364" max="15364" width="13.125" style="1" customWidth="1"/>
    <col min="15365" max="15365" width="7.125" style="1" customWidth="1"/>
    <col min="15366" max="15366" width="13.125" style="1" customWidth="1"/>
    <col min="15367" max="15367" width="16.125" style="1" customWidth="1"/>
    <col min="15368" max="15368" width="22.125" style="1" customWidth="1"/>
    <col min="15369" max="15616" width="9" style="1"/>
    <col min="15617" max="15617" width="8.125" style="1" customWidth="1"/>
    <col min="15618" max="15618" width="27.125" style="1" customWidth="1"/>
    <col min="15619" max="15619" width="29.375" style="1" customWidth="1"/>
    <col min="15620" max="15620" width="13.125" style="1" customWidth="1"/>
    <col min="15621" max="15621" width="7.125" style="1" customWidth="1"/>
    <col min="15622" max="15622" width="13.125" style="1" customWidth="1"/>
    <col min="15623" max="15623" width="16.125" style="1" customWidth="1"/>
    <col min="15624" max="15624" width="22.125" style="1" customWidth="1"/>
    <col min="15625" max="15872" width="9" style="1"/>
    <col min="15873" max="15873" width="8.125" style="1" customWidth="1"/>
    <col min="15874" max="15874" width="27.125" style="1" customWidth="1"/>
    <col min="15875" max="15875" width="29.375" style="1" customWidth="1"/>
    <col min="15876" max="15876" width="13.125" style="1" customWidth="1"/>
    <col min="15877" max="15877" width="7.125" style="1" customWidth="1"/>
    <col min="15878" max="15878" width="13.125" style="1" customWidth="1"/>
    <col min="15879" max="15879" width="16.125" style="1" customWidth="1"/>
    <col min="15880" max="15880" width="22.125" style="1" customWidth="1"/>
    <col min="15881" max="16128" width="9" style="1"/>
    <col min="16129" max="16129" width="8.125" style="1" customWidth="1"/>
    <col min="16130" max="16130" width="27.125" style="1" customWidth="1"/>
    <col min="16131" max="16131" width="29.375" style="1" customWidth="1"/>
    <col min="16132" max="16132" width="13.125" style="1" customWidth="1"/>
    <col min="16133" max="16133" width="7.125" style="1" customWidth="1"/>
    <col min="16134" max="16134" width="13.125" style="1" customWidth="1"/>
    <col min="16135" max="16135" width="16.125" style="1" customWidth="1"/>
    <col min="16136" max="16136" width="22.125" style="1" customWidth="1"/>
    <col min="16137" max="16384" width="9" style="1"/>
  </cols>
  <sheetData>
    <row r="1" spans="1:18" ht="17.25" customHeight="1">
      <c r="A1" s="777" t="s">
        <v>32</v>
      </c>
      <c r="B1" s="778"/>
      <c r="C1" s="781" t="s">
        <v>33</v>
      </c>
      <c r="D1" s="783" t="s">
        <v>34</v>
      </c>
      <c r="E1" s="781" t="s">
        <v>35</v>
      </c>
      <c r="F1" s="785" t="s">
        <v>36</v>
      </c>
      <c r="G1" s="785" t="s">
        <v>37</v>
      </c>
      <c r="H1" s="775" t="s">
        <v>38</v>
      </c>
    </row>
    <row r="2" spans="1:18" s="2" customFormat="1" ht="17.25" customHeight="1">
      <c r="A2" s="779"/>
      <c r="B2" s="780"/>
      <c r="C2" s="782"/>
      <c r="D2" s="784"/>
      <c r="E2" s="782"/>
      <c r="F2" s="786"/>
      <c r="G2" s="786"/>
      <c r="H2" s="776"/>
      <c r="P2" s="3"/>
      <c r="Q2" s="3"/>
    </row>
    <row r="3" spans="1:18" s="12" customFormat="1" ht="14.45" customHeight="1">
      <c r="A3" s="4"/>
      <c r="B3" s="5"/>
      <c r="C3" s="6"/>
      <c r="D3" s="7"/>
      <c r="E3" s="8"/>
      <c r="F3" s="9"/>
      <c r="G3" s="9"/>
      <c r="H3" s="10"/>
      <c r="I3" s="2"/>
      <c r="J3" s="11"/>
      <c r="K3" s="2"/>
      <c r="L3" s="2"/>
      <c r="M3" s="2"/>
      <c r="N3" s="2"/>
    </row>
    <row r="4" spans="1:18" s="2" customFormat="1" ht="14.45" customHeight="1">
      <c r="A4" s="13"/>
      <c r="B4" s="14" t="s">
        <v>39</v>
      </c>
      <c r="C4" s="15"/>
      <c r="D4" s="16"/>
      <c r="E4" s="17"/>
      <c r="F4" s="18"/>
      <c r="G4" s="18"/>
      <c r="H4" s="19"/>
      <c r="J4" s="11"/>
    </row>
    <row r="5" spans="1:18" s="2" customFormat="1" ht="14.45" customHeight="1">
      <c r="A5" s="20"/>
      <c r="B5" s="5"/>
      <c r="C5" s="21"/>
      <c r="D5" s="22"/>
      <c r="E5" s="8"/>
      <c r="F5" s="9"/>
      <c r="G5" s="9"/>
      <c r="H5" s="10"/>
      <c r="J5" s="11"/>
      <c r="O5" s="12"/>
      <c r="P5" s="12"/>
      <c r="Q5" s="12"/>
      <c r="R5" s="12"/>
    </row>
    <row r="6" spans="1:18" s="2" customFormat="1" ht="14.45" customHeight="1">
      <c r="A6" s="23">
        <v>1</v>
      </c>
      <c r="B6" s="14" t="s">
        <v>321</v>
      </c>
      <c r="C6" s="24" t="s">
        <v>322</v>
      </c>
      <c r="D6" s="25">
        <v>1</v>
      </c>
      <c r="E6" s="17" t="s">
        <v>7</v>
      </c>
      <c r="F6" s="18"/>
      <c r="G6" s="18">
        <f>G104</f>
        <v>0</v>
      </c>
      <c r="H6" s="19"/>
      <c r="J6" s="11"/>
    </row>
    <row r="7" spans="1:18" s="2" customFormat="1" ht="14.45" customHeight="1">
      <c r="A7" s="26"/>
      <c r="B7" s="5"/>
      <c r="C7" s="21"/>
      <c r="D7" s="22"/>
      <c r="E7" s="8"/>
      <c r="F7" s="9"/>
      <c r="G7" s="9"/>
      <c r="H7" s="10"/>
      <c r="J7" s="11"/>
      <c r="O7" s="12"/>
      <c r="P7" s="12"/>
      <c r="Q7" s="12"/>
      <c r="R7" s="12"/>
    </row>
    <row r="8" spans="1:18" s="2" customFormat="1" ht="14.45" customHeight="1">
      <c r="A8" s="23">
        <v>2</v>
      </c>
      <c r="B8" s="49" t="s">
        <v>328</v>
      </c>
      <c r="C8" s="24" t="s">
        <v>322</v>
      </c>
      <c r="D8" s="25">
        <v>1</v>
      </c>
      <c r="E8" s="17" t="s">
        <v>7</v>
      </c>
      <c r="F8" s="18"/>
      <c r="G8" s="18">
        <f>G172</f>
        <v>0</v>
      </c>
      <c r="H8" s="19"/>
      <c r="J8" s="11"/>
    </row>
    <row r="9" spans="1:18" s="2" customFormat="1" ht="14.45" customHeight="1">
      <c r="A9" s="26"/>
      <c r="B9" s="5"/>
      <c r="C9" s="21"/>
      <c r="D9" s="22"/>
      <c r="E9" s="8"/>
      <c r="F9" s="9"/>
      <c r="G9" s="9"/>
      <c r="H9" s="10"/>
      <c r="J9" s="11"/>
      <c r="O9" s="12"/>
      <c r="P9" s="12"/>
      <c r="Q9" s="12"/>
      <c r="R9" s="12"/>
    </row>
    <row r="10" spans="1:18" s="2" customFormat="1" ht="14.45" customHeight="1">
      <c r="A10" s="23">
        <v>3</v>
      </c>
      <c r="B10" s="49" t="s">
        <v>318</v>
      </c>
      <c r="C10" s="24"/>
      <c r="D10" s="25">
        <v>1</v>
      </c>
      <c r="E10" s="17" t="s">
        <v>7</v>
      </c>
      <c r="F10" s="18"/>
      <c r="G10" s="18">
        <f>G206</f>
        <v>0</v>
      </c>
      <c r="H10" s="19"/>
      <c r="J10" s="11"/>
    </row>
    <row r="11" spans="1:18" s="2" customFormat="1" ht="14.45" customHeight="1">
      <c r="A11" s="26"/>
      <c r="B11" s="5"/>
      <c r="C11" s="21"/>
      <c r="D11" s="22"/>
      <c r="E11" s="8"/>
      <c r="F11" s="9"/>
      <c r="G11" s="9"/>
      <c r="H11" s="10"/>
      <c r="J11" s="11"/>
      <c r="O11" s="12"/>
      <c r="P11" s="12"/>
      <c r="Q11" s="12"/>
      <c r="R11" s="12"/>
    </row>
    <row r="12" spans="1:18" s="2" customFormat="1" ht="14.45" customHeight="1">
      <c r="A12" s="23">
        <v>4</v>
      </c>
      <c r="B12" s="14" t="s">
        <v>326</v>
      </c>
      <c r="C12" s="27"/>
      <c r="D12" s="25">
        <v>1</v>
      </c>
      <c r="E12" s="17" t="s">
        <v>7</v>
      </c>
      <c r="F12" s="18"/>
      <c r="G12" s="18">
        <f>G240</f>
        <v>0</v>
      </c>
      <c r="H12" s="19"/>
      <c r="J12" s="11"/>
    </row>
    <row r="13" spans="1:18" s="2" customFormat="1" ht="14.45" customHeight="1">
      <c r="A13" s="26"/>
      <c r="B13" s="5"/>
      <c r="C13" s="21"/>
      <c r="D13" s="22"/>
      <c r="E13" s="8"/>
      <c r="F13" s="9"/>
      <c r="G13" s="9"/>
      <c r="H13" s="10"/>
      <c r="J13" s="11"/>
      <c r="O13" s="12"/>
      <c r="P13" s="12"/>
      <c r="Q13" s="12"/>
      <c r="R13" s="12"/>
    </row>
    <row r="14" spans="1:18" s="2" customFormat="1" ht="14.45" customHeight="1">
      <c r="A14" s="23"/>
      <c r="B14" s="14"/>
      <c r="C14" s="24"/>
      <c r="D14" s="25"/>
      <c r="E14" s="17"/>
      <c r="F14" s="18"/>
      <c r="G14" s="18"/>
      <c r="H14" s="19"/>
      <c r="J14" s="11"/>
    </row>
    <row r="15" spans="1:18" s="2" customFormat="1" ht="14.45" customHeight="1">
      <c r="A15" s="20"/>
      <c r="B15" s="5"/>
      <c r="C15" s="21"/>
      <c r="D15" s="22"/>
      <c r="E15" s="8"/>
      <c r="F15" s="9"/>
      <c r="G15" s="9"/>
      <c r="H15" s="10"/>
      <c r="J15" s="11"/>
      <c r="O15" s="12"/>
      <c r="P15" s="12"/>
      <c r="Q15" s="12"/>
      <c r="R15" s="12"/>
    </row>
    <row r="16" spans="1:18" s="2" customFormat="1" ht="14.45" customHeight="1">
      <c r="A16" s="13"/>
      <c r="B16" s="14"/>
      <c r="C16" s="24"/>
      <c r="D16" s="25"/>
      <c r="E16" s="17"/>
      <c r="F16" s="18"/>
      <c r="G16" s="18"/>
      <c r="H16" s="19"/>
      <c r="J16" s="11"/>
    </row>
    <row r="17" spans="1:18" s="2" customFormat="1" ht="14.45" customHeight="1">
      <c r="A17" s="20"/>
      <c r="B17" s="5"/>
      <c r="C17" s="21"/>
      <c r="D17" s="22"/>
      <c r="E17" s="8"/>
      <c r="F17" s="9"/>
      <c r="G17" s="9"/>
      <c r="H17" s="10"/>
      <c r="J17" s="11"/>
      <c r="O17" s="12"/>
      <c r="P17" s="12"/>
      <c r="Q17" s="12"/>
      <c r="R17" s="12"/>
    </row>
    <row r="18" spans="1:18" s="2" customFormat="1" ht="14.45" customHeight="1">
      <c r="A18" s="13"/>
      <c r="B18" s="14"/>
      <c r="C18" s="24"/>
      <c r="D18" s="25"/>
      <c r="E18" s="17"/>
      <c r="F18" s="18"/>
      <c r="G18" s="18"/>
      <c r="H18" s="19"/>
      <c r="J18" s="11"/>
    </row>
    <row r="19" spans="1:18" s="2" customFormat="1" ht="14.45" customHeight="1">
      <c r="A19" s="20"/>
      <c r="B19" s="5"/>
      <c r="C19" s="21"/>
      <c r="D19" s="22"/>
      <c r="E19" s="8"/>
      <c r="F19" s="9"/>
      <c r="G19" s="9"/>
      <c r="H19" s="10"/>
      <c r="J19" s="11"/>
      <c r="O19" s="12"/>
      <c r="P19" s="12"/>
      <c r="Q19" s="12"/>
      <c r="R19" s="12"/>
    </row>
    <row r="20" spans="1:18" s="2" customFormat="1" ht="14.45" customHeight="1">
      <c r="A20" s="13"/>
      <c r="B20" s="14"/>
      <c r="C20" s="24"/>
      <c r="D20" s="25"/>
      <c r="E20" s="17"/>
      <c r="F20" s="18"/>
      <c r="G20" s="18"/>
      <c r="H20" s="19"/>
      <c r="J20" s="11"/>
    </row>
    <row r="21" spans="1:18" s="2" customFormat="1" ht="14.45" customHeight="1">
      <c r="A21" s="20"/>
      <c r="B21" s="5"/>
      <c r="C21" s="21"/>
      <c r="D21" s="22"/>
      <c r="E21" s="8"/>
      <c r="F21" s="9"/>
      <c r="G21" s="9"/>
      <c r="H21" s="10"/>
      <c r="J21" s="11"/>
      <c r="O21" s="12"/>
      <c r="P21" s="12"/>
      <c r="Q21" s="12"/>
      <c r="R21" s="12"/>
    </row>
    <row r="22" spans="1:18" s="2" customFormat="1" ht="14.45" customHeight="1">
      <c r="A22" s="13"/>
      <c r="B22" s="14"/>
      <c r="C22" s="24"/>
      <c r="D22" s="25"/>
      <c r="E22" s="17"/>
      <c r="F22" s="18"/>
      <c r="G22" s="18"/>
      <c r="H22" s="19"/>
      <c r="J22" s="11"/>
    </row>
    <row r="23" spans="1:18" s="2" customFormat="1" ht="14.45" customHeight="1">
      <c r="A23" s="20"/>
      <c r="B23" s="5"/>
      <c r="C23" s="21"/>
      <c r="D23" s="22"/>
      <c r="E23" s="8"/>
      <c r="F23" s="9"/>
      <c r="G23" s="9"/>
      <c r="H23" s="10"/>
      <c r="J23" s="11"/>
      <c r="O23" s="12"/>
      <c r="P23" s="12"/>
      <c r="Q23" s="12"/>
      <c r="R23" s="12"/>
    </row>
    <row r="24" spans="1:18" s="2" customFormat="1" ht="14.45" customHeight="1">
      <c r="A24" s="13"/>
      <c r="B24" s="14"/>
      <c r="C24" s="24"/>
      <c r="D24" s="25"/>
      <c r="E24" s="17"/>
      <c r="F24" s="18"/>
      <c r="G24" s="18"/>
      <c r="H24" s="19"/>
      <c r="J24" s="11"/>
    </row>
    <row r="25" spans="1:18" s="2" customFormat="1" ht="14.45" customHeight="1">
      <c r="A25" s="20"/>
      <c r="B25" s="5"/>
      <c r="C25" s="21"/>
      <c r="D25" s="22"/>
      <c r="E25" s="8"/>
      <c r="F25" s="9"/>
      <c r="G25" s="9"/>
      <c r="H25" s="10"/>
      <c r="J25" s="11"/>
      <c r="O25" s="12"/>
      <c r="P25" s="12"/>
      <c r="Q25" s="12"/>
      <c r="R25" s="12"/>
    </row>
    <row r="26" spans="1:18" s="2" customFormat="1" ht="14.45" customHeight="1">
      <c r="A26" s="13"/>
      <c r="B26" s="14"/>
      <c r="C26" s="24"/>
      <c r="D26" s="25"/>
      <c r="E26" s="17"/>
      <c r="F26" s="18"/>
      <c r="G26" s="18"/>
      <c r="H26" s="19"/>
      <c r="J26" s="11"/>
    </row>
    <row r="27" spans="1:18" s="2" customFormat="1" ht="14.45" customHeight="1">
      <c r="A27" s="20"/>
      <c r="B27" s="5"/>
      <c r="C27" s="21"/>
      <c r="D27" s="22"/>
      <c r="E27" s="8"/>
      <c r="F27" s="9"/>
      <c r="G27" s="9"/>
      <c r="H27" s="10"/>
      <c r="J27" s="11"/>
      <c r="O27" s="12"/>
      <c r="P27" s="12"/>
      <c r="Q27" s="12"/>
      <c r="R27" s="12"/>
    </row>
    <row r="28" spans="1:18" s="2" customFormat="1" ht="14.45" customHeight="1">
      <c r="A28" s="13"/>
      <c r="B28" s="14"/>
      <c r="C28" s="24"/>
      <c r="D28" s="25"/>
      <c r="E28" s="17"/>
      <c r="F28" s="18"/>
      <c r="G28" s="18"/>
      <c r="H28" s="19"/>
      <c r="J28" s="11"/>
    </row>
    <row r="29" spans="1:18" s="2" customFormat="1" ht="14.45" customHeight="1">
      <c r="A29" s="20"/>
      <c r="B29" s="5"/>
      <c r="C29" s="21"/>
      <c r="D29" s="22"/>
      <c r="E29" s="8"/>
      <c r="F29" s="9"/>
      <c r="G29" s="9"/>
      <c r="H29" s="10"/>
      <c r="J29" s="11"/>
      <c r="O29" s="12"/>
      <c r="P29" s="12"/>
      <c r="Q29" s="12"/>
      <c r="R29" s="12"/>
    </row>
    <row r="30" spans="1:18" s="2" customFormat="1" ht="14.45" customHeight="1">
      <c r="A30" s="13"/>
      <c r="B30" s="14"/>
      <c r="C30" s="24"/>
      <c r="D30" s="25"/>
      <c r="E30" s="17"/>
      <c r="F30" s="18"/>
      <c r="G30" s="18"/>
      <c r="H30" s="19"/>
      <c r="J30" s="11"/>
    </row>
    <row r="31" spans="1:18" s="2" customFormat="1" ht="14.45" customHeight="1">
      <c r="A31" s="20"/>
      <c r="B31" s="5"/>
      <c r="C31" s="21"/>
      <c r="D31" s="22"/>
      <c r="E31" s="8"/>
      <c r="F31" s="9"/>
      <c r="G31" s="9"/>
      <c r="H31" s="10"/>
      <c r="J31" s="11"/>
      <c r="O31" s="12"/>
      <c r="P31" s="12"/>
      <c r="Q31" s="12"/>
      <c r="R31" s="12"/>
    </row>
    <row r="32" spans="1:18" s="2" customFormat="1" ht="14.45" customHeight="1">
      <c r="A32" s="13"/>
      <c r="B32" s="14"/>
      <c r="C32" s="24"/>
      <c r="D32" s="25"/>
      <c r="E32" s="17"/>
      <c r="F32" s="18"/>
      <c r="G32" s="18"/>
      <c r="H32" s="19"/>
      <c r="J32" s="11"/>
    </row>
    <row r="33" spans="1:18" s="2" customFormat="1" ht="14.45" customHeight="1">
      <c r="A33" s="20"/>
      <c r="B33" s="5"/>
      <c r="C33" s="21"/>
      <c r="D33" s="22"/>
      <c r="E33" s="8"/>
      <c r="F33" s="9"/>
      <c r="G33" s="9"/>
      <c r="H33" s="10"/>
      <c r="J33" s="11"/>
      <c r="O33" s="12"/>
      <c r="P33" s="12"/>
      <c r="Q33" s="12"/>
      <c r="R33" s="12"/>
    </row>
    <row r="34" spans="1:18" s="2" customFormat="1" ht="14.45" customHeight="1">
      <c r="A34" s="13"/>
      <c r="B34" s="14"/>
      <c r="C34" s="24"/>
      <c r="D34" s="25"/>
      <c r="E34" s="17"/>
      <c r="F34" s="18"/>
      <c r="G34" s="18"/>
      <c r="H34" s="19"/>
      <c r="J34" s="11"/>
    </row>
    <row r="35" spans="1:18" s="2" customFormat="1" ht="14.45" customHeight="1">
      <c r="A35" s="20"/>
      <c r="B35" s="5"/>
      <c r="C35" s="21"/>
      <c r="D35" s="22"/>
      <c r="E35" s="8"/>
      <c r="F35" s="9"/>
      <c r="G35" s="9"/>
      <c r="H35" s="10"/>
      <c r="J35" s="11"/>
      <c r="O35" s="12"/>
      <c r="P35" s="12"/>
      <c r="Q35" s="12"/>
      <c r="R35" s="12"/>
    </row>
    <row r="36" spans="1:18" s="2" customFormat="1" ht="14.45" customHeight="1">
      <c r="A36" s="28"/>
      <c r="B36" s="29" t="s">
        <v>40</v>
      </c>
      <c r="C36" s="30"/>
      <c r="D36" s="31"/>
      <c r="E36" s="29"/>
      <c r="F36" s="32"/>
      <c r="G36" s="32">
        <f>SUM(G5:G34)</f>
        <v>0</v>
      </c>
      <c r="H36" s="33"/>
      <c r="J36" s="11"/>
    </row>
    <row r="37" spans="1:18" s="2" customFormat="1" ht="14.45" customHeight="1">
      <c r="A37" s="34"/>
      <c r="B37" s="35"/>
      <c r="C37" s="36"/>
      <c r="D37" s="37"/>
      <c r="E37" s="38"/>
      <c r="F37" s="39"/>
      <c r="G37" s="39"/>
      <c r="H37" s="40"/>
      <c r="J37" s="11"/>
      <c r="O37" s="12"/>
      <c r="P37" s="12"/>
      <c r="Q37" s="12"/>
      <c r="R37" s="12"/>
    </row>
    <row r="38" spans="1:18" s="2" customFormat="1" ht="14.45" customHeight="1">
      <c r="A38" s="763">
        <v>1</v>
      </c>
      <c r="B38" s="49" t="s">
        <v>323</v>
      </c>
      <c r="C38" s="24"/>
      <c r="D38" s="25"/>
      <c r="E38" s="17"/>
      <c r="F38" s="18"/>
      <c r="G38" s="18"/>
      <c r="H38" s="19"/>
      <c r="J38" s="11"/>
    </row>
    <row r="39" spans="1:18" s="2" customFormat="1" ht="14.45" customHeight="1">
      <c r="A39" s="766"/>
      <c r="B39" s="45"/>
      <c r="C39" s="21"/>
      <c r="D39" s="22"/>
      <c r="E39" s="8"/>
      <c r="F39" s="9"/>
      <c r="G39" s="9"/>
      <c r="H39" s="10"/>
      <c r="J39" s="11"/>
      <c r="O39" s="12"/>
      <c r="P39" s="12"/>
      <c r="Q39" s="12"/>
      <c r="R39" s="12"/>
    </row>
    <row r="40" spans="1:18" s="2" customFormat="1" ht="14.45" customHeight="1">
      <c r="A40" s="763"/>
      <c r="B40" s="49" t="s">
        <v>324</v>
      </c>
      <c r="C40" s="24"/>
      <c r="D40" s="25"/>
      <c r="E40" s="17"/>
      <c r="F40" s="18"/>
      <c r="G40" s="18"/>
      <c r="H40" s="19"/>
      <c r="J40" s="11"/>
    </row>
    <row r="41" spans="1:18" s="2" customFormat="1" ht="14.45" customHeight="1">
      <c r="A41" s="41"/>
      <c r="B41" s="5"/>
      <c r="C41" s="21"/>
      <c r="D41" s="22"/>
      <c r="E41" s="8"/>
      <c r="F41" s="9"/>
      <c r="G41" s="9"/>
      <c r="H41" s="10"/>
      <c r="J41" s="11"/>
      <c r="O41" s="12"/>
      <c r="P41" s="12"/>
      <c r="Q41" s="12"/>
      <c r="R41" s="12"/>
    </row>
    <row r="42" spans="1:18" s="2" customFormat="1" ht="14.45" customHeight="1">
      <c r="A42" s="23"/>
      <c r="B42" s="14" t="s">
        <v>41</v>
      </c>
      <c r="C42" s="24" t="s">
        <v>9</v>
      </c>
      <c r="D42" s="25">
        <v>2</v>
      </c>
      <c r="E42" s="17" t="s">
        <v>8</v>
      </c>
      <c r="F42" s="18"/>
      <c r="G42" s="18">
        <f>D42*F42</f>
        <v>0</v>
      </c>
      <c r="H42" s="19"/>
      <c r="J42" s="11"/>
    </row>
    <row r="43" spans="1:18" s="2" customFormat="1" ht="14.45" customHeight="1">
      <c r="A43" s="41"/>
      <c r="B43" s="5"/>
      <c r="C43" s="21"/>
      <c r="D43" s="22"/>
      <c r="E43" s="8"/>
      <c r="F43" s="9"/>
      <c r="G43" s="9"/>
      <c r="H43" s="10"/>
      <c r="J43" s="11"/>
      <c r="O43" s="12"/>
      <c r="P43" s="12"/>
      <c r="Q43" s="12"/>
      <c r="R43" s="12"/>
    </row>
    <row r="44" spans="1:18" s="2" customFormat="1" ht="14.45" customHeight="1">
      <c r="A44" s="23"/>
      <c r="B44" s="14" t="s">
        <v>41</v>
      </c>
      <c r="C44" s="27" t="s">
        <v>10</v>
      </c>
      <c r="D44" s="25">
        <v>1</v>
      </c>
      <c r="E44" s="17" t="s">
        <v>8</v>
      </c>
      <c r="F44" s="18"/>
      <c r="G44" s="18">
        <f t="shared" ref="G44" si="0">D44*F44</f>
        <v>0</v>
      </c>
      <c r="H44" s="19"/>
      <c r="J44" s="11"/>
    </row>
    <row r="45" spans="1:18" s="2" customFormat="1" ht="14.45" customHeight="1">
      <c r="A45" s="41"/>
      <c r="B45" s="5"/>
      <c r="C45" s="21"/>
      <c r="D45" s="22"/>
      <c r="E45" s="8"/>
      <c r="F45" s="9"/>
      <c r="G45" s="9"/>
      <c r="H45" s="10"/>
      <c r="J45" s="11"/>
      <c r="O45" s="12"/>
      <c r="P45" s="12"/>
      <c r="Q45" s="12"/>
      <c r="R45" s="12"/>
    </row>
    <row r="46" spans="1:18" s="2" customFormat="1" ht="14.45" customHeight="1">
      <c r="A46" s="23"/>
      <c r="B46" s="14" t="s">
        <v>41</v>
      </c>
      <c r="C46" s="24" t="s">
        <v>11</v>
      </c>
      <c r="D46" s="25">
        <v>26</v>
      </c>
      <c r="E46" s="17" t="s">
        <v>8</v>
      </c>
      <c r="F46" s="18"/>
      <c r="G46" s="18">
        <f t="shared" ref="G46" si="1">D46*F46</f>
        <v>0</v>
      </c>
      <c r="H46" s="19"/>
      <c r="J46" s="11"/>
    </row>
    <row r="47" spans="1:18" s="2" customFormat="1" ht="14.45" customHeight="1">
      <c r="A47" s="41"/>
      <c r="B47" s="5"/>
      <c r="C47" s="21"/>
      <c r="D47" s="22"/>
      <c r="E47" s="8"/>
      <c r="F47" s="9"/>
      <c r="G47" s="9"/>
      <c r="H47" s="10"/>
      <c r="J47" s="11"/>
      <c r="O47" s="12"/>
      <c r="P47" s="12"/>
      <c r="Q47" s="12"/>
      <c r="R47" s="12"/>
    </row>
    <row r="48" spans="1:18" s="2" customFormat="1" ht="14.45" customHeight="1">
      <c r="A48" s="23"/>
      <c r="B48" s="14" t="s">
        <v>41</v>
      </c>
      <c r="C48" s="24" t="s">
        <v>12</v>
      </c>
      <c r="D48" s="25">
        <v>6</v>
      </c>
      <c r="E48" s="17" t="s">
        <v>8</v>
      </c>
      <c r="F48" s="18"/>
      <c r="G48" s="18">
        <f t="shared" ref="G48" si="2">D48*F48</f>
        <v>0</v>
      </c>
      <c r="H48" s="19"/>
      <c r="J48" s="11"/>
    </row>
    <row r="49" spans="1:18" s="2" customFormat="1" ht="14.45" customHeight="1">
      <c r="A49" s="41"/>
      <c r="B49" s="5"/>
      <c r="C49" s="21"/>
      <c r="D49" s="22"/>
      <c r="E49" s="8"/>
      <c r="F49" s="9"/>
      <c r="G49" s="9"/>
      <c r="H49" s="10"/>
      <c r="J49" s="11"/>
      <c r="O49" s="12"/>
      <c r="P49" s="12"/>
      <c r="Q49" s="12"/>
      <c r="R49" s="12"/>
    </row>
    <row r="50" spans="1:18" s="2" customFormat="1" ht="14.45" customHeight="1">
      <c r="A50" s="23"/>
      <c r="B50" s="14" t="s">
        <v>41</v>
      </c>
      <c r="C50" s="24" t="s">
        <v>13</v>
      </c>
      <c r="D50" s="25">
        <v>2</v>
      </c>
      <c r="E50" s="17" t="s">
        <v>8</v>
      </c>
      <c r="F50" s="18"/>
      <c r="G50" s="18">
        <f t="shared" ref="G50" si="3">D50*F50</f>
        <v>0</v>
      </c>
      <c r="H50" s="19"/>
      <c r="J50" s="11"/>
    </row>
    <row r="51" spans="1:18" s="2" customFormat="1" ht="14.45" customHeight="1">
      <c r="A51" s="41"/>
      <c r="B51" s="5"/>
      <c r="C51" s="21"/>
      <c r="D51" s="22"/>
      <c r="E51" s="8"/>
      <c r="F51" s="9"/>
      <c r="G51" s="9"/>
      <c r="H51" s="10"/>
      <c r="J51" s="11"/>
      <c r="O51" s="12"/>
      <c r="P51" s="12"/>
      <c r="Q51" s="12"/>
      <c r="R51" s="12"/>
    </row>
    <row r="52" spans="1:18" s="2" customFormat="1" ht="14.45" customHeight="1">
      <c r="A52" s="23"/>
      <c r="B52" s="14" t="s">
        <v>41</v>
      </c>
      <c r="C52" s="24" t="s">
        <v>14</v>
      </c>
      <c r="D52" s="25">
        <v>10</v>
      </c>
      <c r="E52" s="17" t="s">
        <v>8</v>
      </c>
      <c r="F52" s="18"/>
      <c r="G52" s="18">
        <f t="shared" ref="G52" si="4">D52*F52</f>
        <v>0</v>
      </c>
      <c r="H52" s="19"/>
      <c r="J52" s="11"/>
    </row>
    <row r="53" spans="1:18" s="2" customFormat="1" ht="14.45" customHeight="1">
      <c r="A53" s="41"/>
      <c r="B53" s="5"/>
      <c r="C53" s="21"/>
      <c r="D53" s="22"/>
      <c r="E53" s="8"/>
      <c r="F53" s="9"/>
      <c r="G53" s="9"/>
      <c r="H53" s="10"/>
      <c r="J53" s="11"/>
      <c r="O53" s="12"/>
      <c r="P53" s="12"/>
      <c r="Q53" s="12"/>
      <c r="R53" s="12"/>
    </row>
    <row r="54" spans="1:18" s="2" customFormat="1" ht="14.45" customHeight="1">
      <c r="A54" s="23"/>
      <c r="B54" s="14" t="s">
        <v>41</v>
      </c>
      <c r="C54" s="24" t="s">
        <v>15</v>
      </c>
      <c r="D54" s="25">
        <v>1</v>
      </c>
      <c r="E54" s="17" t="s">
        <v>8</v>
      </c>
      <c r="F54" s="18"/>
      <c r="G54" s="18">
        <f t="shared" ref="G54" si="5">D54*F54</f>
        <v>0</v>
      </c>
      <c r="H54" s="19"/>
      <c r="J54" s="11"/>
    </row>
    <row r="55" spans="1:18" s="2" customFormat="1" ht="14.45" customHeight="1">
      <c r="A55" s="41"/>
      <c r="B55" s="5"/>
      <c r="C55" s="21"/>
      <c r="D55" s="22"/>
      <c r="E55" s="8"/>
      <c r="F55" s="9"/>
      <c r="G55" s="9"/>
      <c r="H55" s="10"/>
      <c r="J55" s="11"/>
      <c r="O55" s="12"/>
      <c r="P55" s="12"/>
      <c r="Q55" s="12"/>
      <c r="R55" s="12"/>
    </row>
    <row r="56" spans="1:18" s="2" customFormat="1" ht="14.45" customHeight="1">
      <c r="A56" s="23"/>
      <c r="B56" s="14" t="s">
        <v>41</v>
      </c>
      <c r="C56" s="24" t="s">
        <v>16</v>
      </c>
      <c r="D56" s="25">
        <v>36</v>
      </c>
      <c r="E56" s="17" t="s">
        <v>8</v>
      </c>
      <c r="F56" s="18"/>
      <c r="G56" s="18">
        <f t="shared" ref="G56" si="6">D56*F56</f>
        <v>0</v>
      </c>
      <c r="H56" s="19"/>
      <c r="J56" s="11"/>
    </row>
    <row r="57" spans="1:18" s="2" customFormat="1" ht="14.45" customHeight="1">
      <c r="A57" s="41"/>
      <c r="B57" s="5"/>
      <c r="C57" s="21"/>
      <c r="D57" s="22"/>
      <c r="E57" s="8"/>
      <c r="F57" s="9"/>
      <c r="G57" s="9"/>
      <c r="H57" s="10"/>
      <c r="J57" s="11"/>
      <c r="O57" s="12"/>
      <c r="P57" s="12"/>
      <c r="Q57" s="12"/>
      <c r="R57" s="12"/>
    </row>
    <row r="58" spans="1:18" s="2" customFormat="1" ht="14.45" customHeight="1">
      <c r="A58" s="23"/>
      <c r="B58" s="14" t="s">
        <v>41</v>
      </c>
      <c r="C58" s="24" t="s">
        <v>17</v>
      </c>
      <c r="D58" s="25">
        <v>21</v>
      </c>
      <c r="E58" s="17" t="s">
        <v>8</v>
      </c>
      <c r="F58" s="18"/>
      <c r="G58" s="18">
        <f t="shared" ref="G58" si="7">D58*F58</f>
        <v>0</v>
      </c>
      <c r="H58" s="19"/>
      <c r="J58" s="11"/>
    </row>
    <row r="59" spans="1:18" s="2" customFormat="1" ht="14.45" customHeight="1">
      <c r="A59" s="41"/>
      <c r="B59" s="5"/>
      <c r="C59" s="21"/>
      <c r="D59" s="22"/>
      <c r="E59" s="8"/>
      <c r="F59" s="9"/>
      <c r="G59" s="9"/>
      <c r="H59" s="10"/>
      <c r="J59" s="11"/>
      <c r="O59" s="12"/>
      <c r="P59" s="12"/>
      <c r="Q59" s="12"/>
      <c r="R59" s="12"/>
    </row>
    <row r="60" spans="1:18" s="2" customFormat="1" ht="14.45" customHeight="1">
      <c r="A60" s="23"/>
      <c r="B60" s="14" t="s">
        <v>41</v>
      </c>
      <c r="C60" s="24" t="s">
        <v>18</v>
      </c>
      <c r="D60" s="25">
        <v>14</v>
      </c>
      <c r="E60" s="17" t="s">
        <v>8</v>
      </c>
      <c r="F60" s="18"/>
      <c r="G60" s="18">
        <f t="shared" ref="G60" si="8">D60*F60</f>
        <v>0</v>
      </c>
      <c r="H60" s="19"/>
      <c r="J60" s="11"/>
    </row>
    <row r="61" spans="1:18" s="2" customFormat="1" ht="14.45" customHeight="1">
      <c r="A61" s="41"/>
      <c r="B61" s="5"/>
      <c r="C61" s="21"/>
      <c r="D61" s="22"/>
      <c r="E61" s="8"/>
      <c r="F61" s="9"/>
      <c r="G61" s="9"/>
      <c r="H61" s="10"/>
      <c r="J61" s="11"/>
      <c r="O61" s="12"/>
      <c r="P61" s="12"/>
      <c r="Q61" s="12"/>
      <c r="R61" s="12"/>
    </row>
    <row r="62" spans="1:18" s="2" customFormat="1" ht="14.45" customHeight="1">
      <c r="A62" s="23"/>
      <c r="B62" s="14" t="s">
        <v>41</v>
      </c>
      <c r="C62" s="24" t="s">
        <v>19</v>
      </c>
      <c r="D62" s="25">
        <v>1</v>
      </c>
      <c r="E62" s="17" t="s">
        <v>8</v>
      </c>
      <c r="F62" s="18"/>
      <c r="G62" s="18">
        <f t="shared" ref="G62" si="9">D62*F62</f>
        <v>0</v>
      </c>
      <c r="H62" s="19"/>
      <c r="J62" s="11"/>
    </row>
    <row r="63" spans="1:18" s="2" customFormat="1" ht="14.45" customHeight="1">
      <c r="A63" s="41"/>
      <c r="B63" s="5"/>
      <c r="C63" s="21"/>
      <c r="D63" s="22"/>
      <c r="E63" s="8"/>
      <c r="F63" s="9"/>
      <c r="G63" s="9"/>
      <c r="H63" s="10"/>
      <c r="J63" s="11"/>
      <c r="O63" s="12"/>
      <c r="P63" s="12"/>
      <c r="Q63" s="12"/>
      <c r="R63" s="12"/>
    </row>
    <row r="64" spans="1:18" s="2" customFormat="1" ht="14.45" customHeight="1">
      <c r="A64" s="23"/>
      <c r="B64" s="14" t="s">
        <v>41</v>
      </c>
      <c r="C64" s="24" t="s">
        <v>20</v>
      </c>
      <c r="D64" s="25">
        <v>14</v>
      </c>
      <c r="E64" s="17" t="s">
        <v>8</v>
      </c>
      <c r="F64" s="18"/>
      <c r="G64" s="18">
        <f t="shared" ref="G64" si="10">D64*F64</f>
        <v>0</v>
      </c>
      <c r="H64" s="19"/>
      <c r="J64" s="11"/>
    </row>
    <row r="65" spans="1:18" s="2" customFormat="1" ht="14.45" customHeight="1">
      <c r="A65" s="41"/>
      <c r="B65" s="5"/>
      <c r="C65" s="21"/>
      <c r="D65" s="22"/>
      <c r="E65" s="8"/>
      <c r="F65" s="9"/>
      <c r="G65" s="9"/>
      <c r="H65" s="10"/>
      <c r="J65" s="11"/>
      <c r="O65" s="12"/>
      <c r="P65" s="12"/>
      <c r="Q65" s="12"/>
      <c r="R65" s="12"/>
    </row>
    <row r="66" spans="1:18" s="2" customFormat="1" ht="14.45" customHeight="1">
      <c r="A66" s="23"/>
      <c r="B66" s="14" t="s">
        <v>41</v>
      </c>
      <c r="C66" s="24" t="s">
        <v>21</v>
      </c>
      <c r="D66" s="25">
        <v>2</v>
      </c>
      <c r="E66" s="17" t="s">
        <v>8</v>
      </c>
      <c r="F66" s="18"/>
      <c r="G66" s="18">
        <f t="shared" ref="G66" si="11">D66*F66</f>
        <v>0</v>
      </c>
      <c r="H66" s="19"/>
      <c r="J66" s="11"/>
    </row>
    <row r="67" spans="1:18" s="2" customFormat="1" ht="14.45" customHeight="1">
      <c r="A67" s="41"/>
      <c r="B67" s="5"/>
      <c r="C67" s="21"/>
      <c r="D67" s="22"/>
      <c r="E67" s="8"/>
      <c r="F67" s="9"/>
      <c r="G67" s="9"/>
      <c r="H67" s="10"/>
      <c r="J67" s="11"/>
      <c r="O67" s="12"/>
      <c r="P67" s="12"/>
      <c r="Q67" s="12"/>
      <c r="R67" s="12"/>
    </row>
    <row r="68" spans="1:18" s="2" customFormat="1" ht="14.45" customHeight="1">
      <c r="A68" s="23"/>
      <c r="B68" s="14" t="s">
        <v>41</v>
      </c>
      <c r="C68" s="24" t="s">
        <v>27</v>
      </c>
      <c r="D68" s="25">
        <v>2</v>
      </c>
      <c r="E68" s="17" t="s">
        <v>8</v>
      </c>
      <c r="F68" s="18"/>
      <c r="G68" s="18">
        <f t="shared" ref="G68" si="12">D68*F68</f>
        <v>0</v>
      </c>
      <c r="H68" s="19"/>
      <c r="J68" s="11"/>
    </row>
    <row r="69" spans="1:18" s="2" customFormat="1" ht="14.45" customHeight="1">
      <c r="A69" s="41"/>
      <c r="B69" s="5"/>
      <c r="C69" s="21"/>
      <c r="D69" s="22"/>
      <c r="E69" s="8"/>
      <c r="F69" s="9"/>
      <c r="G69" s="9"/>
      <c r="H69" s="10"/>
      <c r="J69" s="11"/>
      <c r="O69" s="12"/>
      <c r="P69" s="12"/>
      <c r="Q69" s="12"/>
      <c r="R69" s="12"/>
    </row>
    <row r="70" spans="1:18" s="2" customFormat="1" ht="14.45" customHeight="1">
      <c r="A70" s="42"/>
      <c r="B70" s="44" t="s">
        <v>41</v>
      </c>
      <c r="C70" s="30" t="s">
        <v>22</v>
      </c>
      <c r="D70" s="31">
        <v>20</v>
      </c>
      <c r="E70" s="29" t="s">
        <v>8</v>
      </c>
      <c r="F70" s="32"/>
      <c r="G70" s="32">
        <f t="shared" ref="G70" si="13">D70*F70</f>
        <v>0</v>
      </c>
      <c r="H70" s="33"/>
      <c r="J70" s="11"/>
    </row>
    <row r="71" spans="1:18" s="2" customFormat="1" ht="14.45" customHeight="1">
      <c r="A71" s="34"/>
      <c r="B71" s="35"/>
      <c r="C71" s="36"/>
      <c r="D71" s="37"/>
      <c r="E71" s="38"/>
      <c r="F71" s="39"/>
      <c r="G71" s="39"/>
      <c r="H71" s="40"/>
      <c r="J71" s="11"/>
      <c r="O71" s="12"/>
      <c r="P71" s="12"/>
      <c r="Q71" s="12"/>
      <c r="R71" s="12"/>
    </row>
    <row r="72" spans="1:18" s="2" customFormat="1" ht="14.45" customHeight="1">
      <c r="A72" s="23"/>
      <c r="B72" s="14" t="s">
        <v>41</v>
      </c>
      <c r="C72" s="24" t="s">
        <v>23</v>
      </c>
      <c r="D72" s="25">
        <v>3</v>
      </c>
      <c r="E72" s="17" t="s">
        <v>8</v>
      </c>
      <c r="F72" s="18"/>
      <c r="G72" s="18">
        <f t="shared" ref="G72" si="14">D72*F72</f>
        <v>0</v>
      </c>
      <c r="H72" s="19"/>
      <c r="J72" s="11"/>
    </row>
    <row r="73" spans="1:18" s="2" customFormat="1" ht="14.45" customHeight="1">
      <c r="A73" s="41"/>
      <c r="B73" s="5"/>
      <c r="C73" s="21"/>
      <c r="D73" s="22"/>
      <c r="E73" s="8"/>
      <c r="F73" s="9"/>
      <c r="G73" s="9"/>
      <c r="H73" s="10"/>
      <c r="J73" s="11"/>
      <c r="O73" s="12"/>
      <c r="P73" s="12"/>
      <c r="Q73" s="12"/>
      <c r="R73" s="12"/>
    </row>
    <row r="74" spans="1:18" s="2" customFormat="1" ht="14.45" customHeight="1">
      <c r="A74" s="23"/>
      <c r="B74" s="14" t="s">
        <v>2</v>
      </c>
      <c r="C74" s="24"/>
      <c r="D74" s="25">
        <v>1</v>
      </c>
      <c r="E74" s="17" t="s">
        <v>8</v>
      </c>
      <c r="F74" s="18"/>
      <c r="G74" s="18">
        <f t="shared" ref="G74" si="15">D74*F74</f>
        <v>0</v>
      </c>
      <c r="H74" s="19"/>
      <c r="J74" s="11"/>
    </row>
    <row r="75" spans="1:18" s="2" customFormat="1" ht="14.45" customHeight="1">
      <c r="A75" s="41"/>
      <c r="B75" s="5"/>
      <c r="C75" s="21"/>
      <c r="D75" s="22"/>
      <c r="E75" s="8"/>
      <c r="F75" s="9"/>
      <c r="G75" s="9"/>
      <c r="H75" s="10"/>
      <c r="J75" s="11"/>
      <c r="O75" s="12"/>
      <c r="P75" s="12"/>
      <c r="Q75" s="12"/>
      <c r="R75" s="12"/>
    </row>
    <row r="76" spans="1:18" s="2" customFormat="1" ht="14.45" customHeight="1">
      <c r="A76" s="23"/>
      <c r="B76" s="14" t="s">
        <v>28</v>
      </c>
      <c r="C76" s="24"/>
      <c r="D76" s="25">
        <v>1</v>
      </c>
      <c r="E76" s="17" t="s">
        <v>6</v>
      </c>
      <c r="F76" s="18"/>
      <c r="G76" s="18">
        <f t="shared" ref="G76" si="16">D76*F76</f>
        <v>0</v>
      </c>
      <c r="H76" s="19"/>
      <c r="J76" s="11"/>
    </row>
    <row r="77" spans="1:18" s="2" customFormat="1" ht="14.45" customHeight="1">
      <c r="A77" s="41"/>
      <c r="B77" s="5"/>
      <c r="C77" s="21"/>
      <c r="D77" s="22"/>
      <c r="E77" s="8"/>
      <c r="F77" s="9"/>
      <c r="G77" s="9"/>
      <c r="H77" s="10"/>
      <c r="J77" s="11"/>
      <c r="O77" s="12"/>
      <c r="P77" s="12"/>
      <c r="Q77" s="12"/>
      <c r="R77" s="12"/>
    </row>
    <row r="78" spans="1:18" s="2" customFormat="1" ht="14.45" customHeight="1">
      <c r="A78" s="23"/>
      <c r="B78" s="14" t="s">
        <v>3</v>
      </c>
      <c r="C78" s="24"/>
      <c r="D78" s="25">
        <v>1</v>
      </c>
      <c r="E78" s="17" t="s">
        <v>8</v>
      </c>
      <c r="F78" s="18"/>
      <c r="G78" s="18">
        <f t="shared" ref="G78" si="17">D78*F78</f>
        <v>0</v>
      </c>
      <c r="H78" s="19"/>
      <c r="J78" s="11"/>
    </row>
    <row r="79" spans="1:18" s="2" customFormat="1" ht="14.45" customHeight="1">
      <c r="A79" s="41"/>
      <c r="B79" s="5"/>
      <c r="C79" s="21"/>
      <c r="D79" s="22"/>
      <c r="E79" s="8"/>
      <c r="F79" s="9"/>
      <c r="G79" s="9"/>
      <c r="H79" s="10"/>
      <c r="J79" s="11"/>
      <c r="O79" s="12"/>
      <c r="P79" s="12"/>
      <c r="Q79" s="12"/>
      <c r="R79" s="12"/>
    </row>
    <row r="80" spans="1:18" s="2" customFormat="1" ht="14.45" customHeight="1">
      <c r="A80" s="23"/>
      <c r="B80" s="14" t="s">
        <v>30</v>
      </c>
      <c r="C80" s="24" t="s">
        <v>24</v>
      </c>
      <c r="D80" s="25">
        <v>2</v>
      </c>
      <c r="E80" s="17" t="s">
        <v>61</v>
      </c>
      <c r="F80" s="18"/>
      <c r="G80" s="18">
        <f t="shared" ref="G80" si="18">D80*F80</f>
        <v>0</v>
      </c>
      <c r="H80" s="19"/>
      <c r="J80" s="11"/>
    </row>
    <row r="81" spans="1:18" s="2" customFormat="1" ht="14.45" customHeight="1">
      <c r="A81" s="41"/>
      <c r="B81" s="5"/>
      <c r="C81" s="21"/>
      <c r="D81" s="22"/>
      <c r="E81" s="8"/>
      <c r="F81" s="9"/>
      <c r="G81" s="9"/>
      <c r="H81" s="10"/>
      <c r="J81" s="11"/>
      <c r="O81" s="12"/>
      <c r="P81" s="12"/>
      <c r="Q81" s="12"/>
      <c r="R81" s="12"/>
    </row>
    <row r="82" spans="1:18" s="2" customFormat="1" ht="14.45" customHeight="1">
      <c r="A82" s="23"/>
      <c r="B82" s="14" t="s">
        <v>31</v>
      </c>
      <c r="C82" s="24"/>
      <c r="D82" s="25">
        <v>1</v>
      </c>
      <c r="E82" s="17" t="s">
        <v>4</v>
      </c>
      <c r="F82" s="18"/>
      <c r="G82" s="18"/>
      <c r="H82" s="19"/>
      <c r="J82" s="11"/>
    </row>
    <row r="83" spans="1:18" s="2" customFormat="1" ht="14.45" customHeight="1">
      <c r="A83" s="41"/>
      <c r="B83" s="5"/>
      <c r="C83" s="21"/>
      <c r="D83" s="22"/>
      <c r="E83" s="8"/>
      <c r="F83" s="9"/>
      <c r="G83" s="9"/>
      <c r="H83" s="10"/>
      <c r="J83" s="11"/>
      <c r="O83" s="12"/>
      <c r="P83" s="12"/>
      <c r="Q83" s="12"/>
      <c r="R83" s="12"/>
    </row>
    <row r="84" spans="1:18" s="2" customFormat="1" ht="14.45" customHeight="1">
      <c r="A84" s="23"/>
      <c r="B84" s="14"/>
      <c r="C84" s="24"/>
      <c r="D84" s="25"/>
      <c r="E84" s="17"/>
      <c r="F84" s="18"/>
      <c r="G84" s="18"/>
      <c r="H84" s="19"/>
      <c r="J84" s="11"/>
    </row>
    <row r="85" spans="1:18" s="2" customFormat="1" ht="14.45" customHeight="1">
      <c r="A85" s="41"/>
      <c r="B85" s="5"/>
      <c r="C85" s="21"/>
      <c r="D85" s="22"/>
      <c r="E85" s="8"/>
      <c r="F85" s="9"/>
      <c r="G85" s="9"/>
      <c r="H85" s="10"/>
      <c r="J85" s="11"/>
      <c r="O85" s="12"/>
      <c r="P85" s="12"/>
      <c r="Q85" s="12"/>
      <c r="R85" s="12"/>
    </row>
    <row r="86" spans="1:18" s="2" customFormat="1" ht="14.45" customHeight="1">
      <c r="A86" s="23"/>
      <c r="B86" s="14"/>
      <c r="C86" s="24"/>
      <c r="D86" s="25"/>
      <c r="E86" s="17"/>
      <c r="F86" s="18"/>
      <c r="G86" s="18"/>
      <c r="H86" s="19"/>
      <c r="J86" s="11"/>
    </row>
    <row r="87" spans="1:18" s="2" customFormat="1" ht="14.45" customHeight="1">
      <c r="A87" s="41"/>
      <c r="B87" s="5"/>
      <c r="C87" s="21"/>
      <c r="D87" s="22"/>
      <c r="E87" s="8"/>
      <c r="F87" s="9"/>
      <c r="G87" s="9"/>
      <c r="H87" s="10"/>
      <c r="J87" s="11"/>
      <c r="O87" s="12"/>
      <c r="P87" s="12"/>
      <c r="Q87" s="12"/>
      <c r="R87" s="12"/>
    </row>
    <row r="88" spans="1:18" s="2" customFormat="1" ht="14.45" customHeight="1">
      <c r="A88" s="23"/>
      <c r="B88" s="14"/>
      <c r="C88" s="24"/>
      <c r="D88" s="25"/>
      <c r="E88" s="17"/>
      <c r="F88" s="18"/>
      <c r="G88" s="18"/>
      <c r="H88" s="19"/>
      <c r="J88" s="11"/>
    </row>
    <row r="89" spans="1:18" s="2" customFormat="1" ht="14.45" customHeight="1">
      <c r="A89" s="41"/>
      <c r="B89" s="5"/>
      <c r="C89" s="21"/>
      <c r="D89" s="22"/>
      <c r="E89" s="8"/>
      <c r="F89" s="9"/>
      <c r="G89" s="9"/>
      <c r="H89" s="10"/>
      <c r="J89" s="11"/>
      <c r="O89" s="12"/>
      <c r="P89" s="12"/>
      <c r="Q89" s="12"/>
      <c r="R89" s="12"/>
    </row>
    <row r="90" spans="1:18" s="2" customFormat="1" ht="14.45" customHeight="1">
      <c r="A90" s="23"/>
      <c r="B90" s="14"/>
      <c r="C90" s="24"/>
      <c r="D90" s="25"/>
      <c r="E90" s="17"/>
      <c r="F90" s="18"/>
      <c r="G90" s="18"/>
      <c r="H90" s="19"/>
      <c r="J90" s="11"/>
    </row>
    <row r="91" spans="1:18" s="2" customFormat="1" ht="14.45" customHeight="1">
      <c r="A91" s="41"/>
      <c r="B91" s="5"/>
      <c r="C91" s="21"/>
      <c r="D91" s="22"/>
      <c r="E91" s="8"/>
      <c r="F91" s="9"/>
      <c r="G91" s="9"/>
      <c r="H91" s="10"/>
      <c r="J91" s="11"/>
      <c r="O91" s="12"/>
      <c r="P91" s="12"/>
      <c r="Q91" s="12"/>
      <c r="R91" s="12"/>
    </row>
    <row r="92" spans="1:18" s="2" customFormat="1" ht="14.45" customHeight="1">
      <c r="A92" s="23"/>
      <c r="B92" s="14"/>
      <c r="C92" s="24"/>
      <c r="D92" s="25"/>
      <c r="E92" s="17"/>
      <c r="F92" s="18"/>
      <c r="G92" s="18"/>
      <c r="H92" s="19"/>
      <c r="J92" s="11"/>
    </row>
    <row r="93" spans="1:18" s="2" customFormat="1" ht="14.45" customHeight="1">
      <c r="A93" s="41"/>
      <c r="B93" s="5"/>
      <c r="C93" s="21"/>
      <c r="D93" s="22"/>
      <c r="E93" s="8"/>
      <c r="F93" s="9"/>
      <c r="G93" s="9"/>
      <c r="H93" s="10"/>
      <c r="J93" s="11"/>
      <c r="O93" s="12"/>
      <c r="P93" s="12"/>
      <c r="Q93" s="12"/>
      <c r="R93" s="12"/>
    </row>
    <row r="94" spans="1:18" s="2" customFormat="1" ht="14.45" customHeight="1">
      <c r="A94" s="23"/>
      <c r="B94" s="14"/>
      <c r="C94" s="24"/>
      <c r="D94" s="25"/>
      <c r="E94" s="17"/>
      <c r="F94" s="18"/>
      <c r="G94" s="18"/>
      <c r="H94" s="19"/>
      <c r="J94" s="11"/>
    </row>
    <row r="95" spans="1:18" s="2" customFormat="1" ht="14.45" customHeight="1">
      <c r="A95" s="41"/>
      <c r="B95" s="5"/>
      <c r="C95" s="21"/>
      <c r="D95" s="22"/>
      <c r="E95" s="8"/>
      <c r="F95" s="9"/>
      <c r="G95" s="9"/>
      <c r="H95" s="10"/>
      <c r="J95" s="11"/>
      <c r="O95" s="12"/>
      <c r="P95" s="12"/>
      <c r="Q95" s="12"/>
      <c r="R95" s="12"/>
    </row>
    <row r="96" spans="1:18" s="2" customFormat="1" ht="14.45" customHeight="1">
      <c r="A96" s="23"/>
      <c r="B96" s="14"/>
      <c r="C96" s="24"/>
      <c r="D96" s="25"/>
      <c r="E96" s="17"/>
      <c r="F96" s="18"/>
      <c r="G96" s="18"/>
      <c r="H96" s="19"/>
      <c r="J96" s="11"/>
    </row>
    <row r="97" spans="1:18" s="2" customFormat="1" ht="14.45" customHeight="1">
      <c r="A97" s="41"/>
      <c r="B97" s="5"/>
      <c r="C97" s="21"/>
      <c r="D97" s="22"/>
      <c r="E97" s="8"/>
      <c r="F97" s="9"/>
      <c r="G97" s="9"/>
      <c r="H97" s="10"/>
      <c r="J97" s="11"/>
      <c r="O97" s="12"/>
      <c r="P97" s="12"/>
      <c r="Q97" s="12"/>
      <c r="R97" s="12"/>
    </row>
    <row r="98" spans="1:18" s="2" customFormat="1" ht="14.45" customHeight="1">
      <c r="A98" s="23"/>
      <c r="B98" s="14"/>
      <c r="C98" s="24"/>
      <c r="D98" s="25"/>
      <c r="E98" s="17"/>
      <c r="F98" s="18"/>
      <c r="G98" s="18"/>
      <c r="H98" s="19"/>
      <c r="J98" s="11"/>
    </row>
    <row r="99" spans="1:18" s="2" customFormat="1" ht="14.45" customHeight="1">
      <c r="A99" s="41"/>
      <c r="B99" s="5"/>
      <c r="C99" s="21"/>
      <c r="D99" s="22"/>
      <c r="E99" s="8"/>
      <c r="F99" s="9"/>
      <c r="G99" s="9"/>
      <c r="H99" s="10"/>
      <c r="J99" s="11"/>
      <c r="O99" s="12"/>
      <c r="P99" s="12"/>
      <c r="Q99" s="12"/>
      <c r="R99" s="12"/>
    </row>
    <row r="100" spans="1:18" s="2" customFormat="1" ht="14.45" customHeight="1">
      <c r="A100" s="23"/>
      <c r="B100" s="14"/>
      <c r="C100" s="24"/>
      <c r="D100" s="25"/>
      <c r="E100" s="17"/>
      <c r="F100" s="18"/>
      <c r="G100" s="18"/>
      <c r="H100" s="19"/>
      <c r="J100" s="11"/>
    </row>
    <row r="101" spans="1:18" s="2" customFormat="1" ht="14.45" customHeight="1">
      <c r="A101" s="41"/>
      <c r="B101" s="5"/>
      <c r="C101" s="21"/>
      <c r="D101" s="22"/>
      <c r="E101" s="8"/>
      <c r="F101" s="9"/>
      <c r="G101" s="9"/>
      <c r="H101" s="10"/>
      <c r="J101" s="11"/>
      <c r="O101" s="12"/>
      <c r="P101" s="12"/>
      <c r="Q101" s="12"/>
      <c r="R101" s="12"/>
    </row>
    <row r="102" spans="1:18" s="2" customFormat="1" ht="14.45" customHeight="1">
      <c r="A102" s="23"/>
      <c r="B102" s="14"/>
      <c r="C102" s="24"/>
      <c r="D102" s="25"/>
      <c r="E102" s="17"/>
      <c r="F102" s="18"/>
      <c r="G102" s="18"/>
      <c r="H102" s="19"/>
      <c r="J102" s="11"/>
    </row>
    <row r="103" spans="1:18" s="2" customFormat="1" ht="14.45" customHeight="1">
      <c r="A103" s="41"/>
      <c r="B103" s="5"/>
      <c r="C103" s="21"/>
      <c r="D103" s="22"/>
      <c r="E103" s="8"/>
      <c r="F103" s="9"/>
      <c r="G103" s="9"/>
      <c r="H103" s="10"/>
      <c r="J103" s="11"/>
      <c r="O103" s="12"/>
      <c r="P103" s="12"/>
      <c r="Q103" s="12"/>
      <c r="R103" s="12"/>
    </row>
    <row r="104" spans="1:18" s="2" customFormat="1" ht="14.45" customHeight="1">
      <c r="A104" s="42"/>
      <c r="B104" s="53" t="s">
        <v>43</v>
      </c>
      <c r="C104" s="30"/>
      <c r="D104" s="31"/>
      <c r="E104" s="29"/>
      <c r="F104" s="32"/>
      <c r="G104" s="32">
        <f>SUM(G41:G102)</f>
        <v>0</v>
      </c>
      <c r="H104" s="33"/>
      <c r="J104" s="11"/>
    </row>
    <row r="105" spans="1:18" s="2" customFormat="1" ht="14.45" customHeight="1">
      <c r="A105" s="34"/>
      <c r="B105" s="35"/>
      <c r="C105" s="36"/>
      <c r="D105" s="37"/>
      <c r="E105" s="38"/>
      <c r="F105" s="39"/>
      <c r="G105" s="39"/>
      <c r="H105" s="40"/>
      <c r="J105" s="11"/>
      <c r="O105" s="12"/>
      <c r="P105" s="12"/>
      <c r="Q105" s="12"/>
      <c r="R105" s="12"/>
    </row>
    <row r="106" spans="1:18" s="2" customFormat="1" ht="14.45" customHeight="1">
      <c r="A106" s="763">
        <v>2</v>
      </c>
      <c r="B106" s="49" t="s">
        <v>329</v>
      </c>
      <c r="C106" s="24"/>
      <c r="D106" s="25"/>
      <c r="E106" s="17"/>
      <c r="F106" s="18"/>
      <c r="G106" s="18"/>
      <c r="H106" s="19"/>
      <c r="J106" s="11"/>
    </row>
    <row r="107" spans="1:18" s="2" customFormat="1" ht="14.45" customHeight="1">
      <c r="A107" s="766"/>
      <c r="B107" s="45"/>
      <c r="C107" s="21"/>
      <c r="D107" s="22"/>
      <c r="E107" s="8"/>
      <c r="F107" s="9"/>
      <c r="G107" s="9"/>
      <c r="H107" s="10"/>
      <c r="J107" s="11"/>
      <c r="O107" s="12"/>
      <c r="P107" s="12"/>
      <c r="Q107" s="12"/>
      <c r="R107" s="12"/>
    </row>
    <row r="108" spans="1:18" s="2" customFormat="1" ht="14.45" customHeight="1">
      <c r="A108" s="763"/>
      <c r="B108" s="49" t="s">
        <v>324</v>
      </c>
      <c r="C108" s="24"/>
      <c r="D108" s="25"/>
      <c r="E108" s="17"/>
      <c r="F108" s="18"/>
      <c r="G108" s="18"/>
      <c r="H108" s="19"/>
      <c r="J108" s="11"/>
    </row>
    <row r="109" spans="1:18" s="2" customFormat="1" ht="14.45" customHeight="1">
      <c r="A109" s="41"/>
      <c r="B109" s="5"/>
      <c r="C109" s="21"/>
      <c r="D109" s="22"/>
      <c r="E109" s="8"/>
      <c r="F109" s="9"/>
      <c r="G109" s="9"/>
      <c r="H109" s="10"/>
      <c r="J109" s="11"/>
      <c r="O109" s="12"/>
      <c r="P109" s="12"/>
      <c r="Q109" s="12"/>
      <c r="R109" s="12"/>
    </row>
    <row r="110" spans="1:18" s="2" customFormat="1" ht="14.45" customHeight="1">
      <c r="A110" s="23"/>
      <c r="B110" s="14" t="s">
        <v>41</v>
      </c>
      <c r="C110" s="24" t="s">
        <v>44</v>
      </c>
      <c r="D110" s="25">
        <v>13</v>
      </c>
      <c r="E110" s="17" t="s">
        <v>325</v>
      </c>
      <c r="F110" s="18"/>
      <c r="G110" s="18">
        <f t="shared" ref="G110" si="19">D110*F110</f>
        <v>0</v>
      </c>
      <c r="H110" s="19"/>
      <c r="J110" s="11"/>
    </row>
    <row r="111" spans="1:18" s="2" customFormat="1" ht="14.45" customHeight="1">
      <c r="A111" s="41"/>
      <c r="B111" s="5"/>
      <c r="C111" s="21"/>
      <c r="D111" s="22"/>
      <c r="E111" s="8"/>
      <c r="F111" s="9"/>
      <c r="G111" s="9"/>
      <c r="H111" s="10"/>
      <c r="J111" s="11"/>
      <c r="O111" s="12"/>
      <c r="P111" s="12"/>
      <c r="Q111" s="12"/>
      <c r="R111" s="12"/>
    </row>
    <row r="112" spans="1:18" s="2" customFormat="1" ht="14.45" customHeight="1">
      <c r="A112" s="23"/>
      <c r="B112" s="14" t="s">
        <v>41</v>
      </c>
      <c r="C112" s="24" t="s">
        <v>45</v>
      </c>
      <c r="D112" s="25">
        <v>6</v>
      </c>
      <c r="E112" s="17" t="s">
        <v>325</v>
      </c>
      <c r="F112" s="18"/>
      <c r="G112" s="18">
        <f t="shared" ref="G112" si="20">D112*F112</f>
        <v>0</v>
      </c>
      <c r="H112" s="19"/>
      <c r="J112" s="11"/>
    </row>
    <row r="113" spans="1:18" s="2" customFormat="1" ht="14.45" customHeight="1">
      <c r="A113" s="41"/>
      <c r="B113" s="5"/>
      <c r="C113" s="21"/>
      <c r="D113" s="22"/>
      <c r="E113" s="8"/>
      <c r="F113" s="9"/>
      <c r="G113" s="9"/>
      <c r="H113" s="10"/>
      <c r="J113" s="11"/>
      <c r="O113" s="12"/>
      <c r="P113" s="12"/>
      <c r="Q113" s="12"/>
      <c r="R113" s="12"/>
    </row>
    <row r="114" spans="1:18" s="2" customFormat="1" ht="14.45" customHeight="1">
      <c r="A114" s="23"/>
      <c r="B114" s="14" t="s">
        <v>41</v>
      </c>
      <c r="C114" s="24" t="s">
        <v>46</v>
      </c>
      <c r="D114" s="25">
        <v>5</v>
      </c>
      <c r="E114" s="17" t="s">
        <v>325</v>
      </c>
      <c r="F114" s="18"/>
      <c r="G114" s="18">
        <f t="shared" ref="G114" si="21">D114*F114</f>
        <v>0</v>
      </c>
      <c r="H114" s="19"/>
      <c r="J114" s="11"/>
    </row>
    <row r="115" spans="1:18" s="2" customFormat="1" ht="14.45" customHeight="1">
      <c r="A115" s="41"/>
      <c r="B115" s="5"/>
      <c r="C115" s="21"/>
      <c r="D115" s="22"/>
      <c r="E115" s="8"/>
      <c r="F115" s="9"/>
      <c r="G115" s="9"/>
      <c r="H115" s="10"/>
      <c r="J115" s="11"/>
      <c r="O115" s="12"/>
      <c r="P115" s="12"/>
      <c r="Q115" s="12"/>
      <c r="R115" s="12"/>
    </row>
    <row r="116" spans="1:18" s="2" customFormat="1" ht="14.45" customHeight="1">
      <c r="A116" s="23"/>
      <c r="B116" s="14" t="s">
        <v>41</v>
      </c>
      <c r="C116" s="24" t="s">
        <v>47</v>
      </c>
      <c r="D116" s="25">
        <v>1</v>
      </c>
      <c r="E116" s="17" t="s">
        <v>325</v>
      </c>
      <c r="F116" s="18"/>
      <c r="G116" s="18">
        <f t="shared" ref="G116" si="22">D116*F116</f>
        <v>0</v>
      </c>
      <c r="H116" s="19"/>
      <c r="J116" s="11"/>
    </row>
    <row r="117" spans="1:18" s="2" customFormat="1" ht="14.45" customHeight="1">
      <c r="A117" s="41"/>
      <c r="B117" s="5"/>
      <c r="C117" s="21"/>
      <c r="D117" s="22"/>
      <c r="E117" s="8"/>
      <c r="F117" s="9"/>
      <c r="G117" s="9"/>
      <c r="H117" s="10"/>
      <c r="J117" s="11"/>
      <c r="O117" s="12"/>
      <c r="P117" s="12"/>
      <c r="Q117" s="12"/>
      <c r="R117" s="12"/>
    </row>
    <row r="118" spans="1:18" s="2" customFormat="1" ht="14.45" customHeight="1">
      <c r="A118" s="23"/>
      <c r="B118" s="14" t="s">
        <v>41</v>
      </c>
      <c r="C118" s="24" t="s">
        <v>48</v>
      </c>
      <c r="D118" s="25">
        <v>1</v>
      </c>
      <c r="E118" s="17" t="s">
        <v>325</v>
      </c>
      <c r="F118" s="18"/>
      <c r="G118" s="18">
        <f t="shared" ref="G118" si="23">D118*F118</f>
        <v>0</v>
      </c>
      <c r="H118" s="19"/>
      <c r="J118" s="11"/>
    </row>
    <row r="119" spans="1:18" s="2" customFormat="1" ht="14.45" customHeight="1">
      <c r="A119" s="41"/>
      <c r="B119" s="5"/>
      <c r="C119" s="21"/>
      <c r="D119" s="22"/>
      <c r="E119" s="8"/>
      <c r="F119" s="9"/>
      <c r="G119" s="9"/>
      <c r="H119" s="10"/>
      <c r="J119" s="11"/>
      <c r="O119" s="12"/>
      <c r="P119" s="12"/>
      <c r="Q119" s="12"/>
      <c r="R119" s="12"/>
    </row>
    <row r="120" spans="1:18" s="2" customFormat="1" ht="14.45" customHeight="1">
      <c r="A120" s="23"/>
      <c r="B120" s="14" t="s">
        <v>41</v>
      </c>
      <c r="C120" s="24" t="s">
        <v>49</v>
      </c>
      <c r="D120" s="25">
        <v>17</v>
      </c>
      <c r="E120" s="17" t="s">
        <v>325</v>
      </c>
      <c r="F120" s="18"/>
      <c r="G120" s="18">
        <f t="shared" ref="G120" si="24">D120*F120</f>
        <v>0</v>
      </c>
      <c r="H120" s="19"/>
      <c r="J120" s="11"/>
    </row>
    <row r="121" spans="1:18" s="2" customFormat="1" ht="14.45" customHeight="1">
      <c r="A121" s="41"/>
      <c r="B121" s="5"/>
      <c r="C121" s="21"/>
      <c r="D121" s="22"/>
      <c r="E121" s="8"/>
      <c r="F121" s="9"/>
      <c r="G121" s="9"/>
      <c r="H121" s="10"/>
      <c r="J121" s="11"/>
      <c r="O121" s="12"/>
      <c r="P121" s="12"/>
      <c r="Q121" s="12"/>
      <c r="R121" s="12"/>
    </row>
    <row r="122" spans="1:18" s="2" customFormat="1" ht="14.45" customHeight="1">
      <c r="A122" s="23"/>
      <c r="B122" s="14" t="s">
        <v>41</v>
      </c>
      <c r="C122" s="24" t="s">
        <v>50</v>
      </c>
      <c r="D122" s="25">
        <v>4</v>
      </c>
      <c r="E122" s="17" t="s">
        <v>325</v>
      </c>
      <c r="F122" s="18"/>
      <c r="G122" s="18">
        <f t="shared" ref="G122" si="25">D122*F122</f>
        <v>0</v>
      </c>
      <c r="H122" s="19"/>
      <c r="J122" s="11"/>
    </row>
    <row r="123" spans="1:18" s="2" customFormat="1" ht="14.45" customHeight="1">
      <c r="A123" s="41"/>
      <c r="B123" s="5"/>
      <c r="C123" s="21"/>
      <c r="D123" s="22"/>
      <c r="E123" s="8"/>
      <c r="F123" s="9"/>
      <c r="G123" s="9"/>
      <c r="H123" s="10"/>
      <c r="J123" s="11"/>
      <c r="O123" s="12"/>
      <c r="P123" s="12"/>
      <c r="Q123" s="12"/>
      <c r="R123" s="12"/>
    </row>
    <row r="124" spans="1:18" s="2" customFormat="1" ht="14.45" customHeight="1">
      <c r="A124" s="23"/>
      <c r="B124" s="14" t="s">
        <v>41</v>
      </c>
      <c r="C124" s="24" t="s">
        <v>51</v>
      </c>
      <c r="D124" s="25">
        <v>2</v>
      </c>
      <c r="E124" s="17" t="s">
        <v>325</v>
      </c>
      <c r="F124" s="18"/>
      <c r="G124" s="18">
        <f t="shared" ref="G124" si="26">D124*F124</f>
        <v>0</v>
      </c>
      <c r="H124" s="19"/>
      <c r="J124" s="11"/>
    </row>
    <row r="125" spans="1:18" s="2" customFormat="1" ht="14.45" customHeight="1">
      <c r="A125" s="41"/>
      <c r="B125" s="5"/>
      <c r="C125" s="21"/>
      <c r="D125" s="22"/>
      <c r="E125" s="8"/>
      <c r="F125" s="9"/>
      <c r="G125" s="9"/>
      <c r="H125" s="10"/>
      <c r="J125" s="11"/>
      <c r="O125" s="12"/>
      <c r="P125" s="12"/>
      <c r="Q125" s="12"/>
      <c r="R125" s="12"/>
    </row>
    <row r="126" spans="1:18" s="2" customFormat="1" ht="14.45" customHeight="1">
      <c r="A126" s="23"/>
      <c r="B126" s="14" t="s">
        <v>41</v>
      </c>
      <c r="C126" s="24" t="s">
        <v>52</v>
      </c>
      <c r="D126" s="25">
        <v>36</v>
      </c>
      <c r="E126" s="17" t="s">
        <v>325</v>
      </c>
      <c r="F126" s="18"/>
      <c r="G126" s="18">
        <f t="shared" ref="G126" si="27">D126*F126</f>
        <v>0</v>
      </c>
      <c r="H126" s="19"/>
      <c r="J126" s="11"/>
    </row>
    <row r="127" spans="1:18" s="2" customFormat="1" ht="14.45" customHeight="1">
      <c r="A127" s="41"/>
      <c r="B127" s="5"/>
      <c r="C127" s="21"/>
      <c r="D127" s="22"/>
      <c r="E127" s="8"/>
      <c r="F127" s="9"/>
      <c r="G127" s="9"/>
      <c r="H127" s="10"/>
      <c r="J127" s="11"/>
      <c r="O127" s="12"/>
      <c r="P127" s="12"/>
      <c r="Q127" s="12"/>
      <c r="R127" s="12"/>
    </row>
    <row r="128" spans="1:18" s="2" customFormat="1" ht="14.45" customHeight="1">
      <c r="A128" s="23"/>
      <c r="B128" s="14" t="s">
        <v>41</v>
      </c>
      <c r="C128" s="24" t="s">
        <v>53</v>
      </c>
      <c r="D128" s="25">
        <v>4</v>
      </c>
      <c r="E128" s="17" t="s">
        <v>325</v>
      </c>
      <c r="F128" s="18"/>
      <c r="G128" s="18">
        <f t="shared" ref="G128" si="28">D128*F128</f>
        <v>0</v>
      </c>
      <c r="H128" s="19"/>
      <c r="J128" s="11"/>
    </row>
    <row r="129" spans="1:18" s="2" customFormat="1" ht="14.45" customHeight="1">
      <c r="A129" s="41"/>
      <c r="B129" s="5"/>
      <c r="C129" s="21"/>
      <c r="D129" s="22"/>
      <c r="E129" s="8"/>
      <c r="F129" s="9"/>
      <c r="G129" s="9"/>
      <c r="H129" s="10"/>
      <c r="J129" s="11"/>
      <c r="O129" s="12"/>
      <c r="P129" s="12"/>
      <c r="Q129" s="12"/>
      <c r="R129" s="12"/>
    </row>
    <row r="130" spans="1:18" s="2" customFormat="1" ht="14.45" customHeight="1">
      <c r="A130" s="23"/>
      <c r="B130" s="14" t="s">
        <v>41</v>
      </c>
      <c r="C130" s="24" t="s">
        <v>54</v>
      </c>
      <c r="D130" s="25">
        <v>18</v>
      </c>
      <c r="E130" s="17" t="s">
        <v>325</v>
      </c>
      <c r="F130" s="18"/>
      <c r="G130" s="18">
        <f t="shared" ref="G130" si="29">D130*F130</f>
        <v>0</v>
      </c>
      <c r="H130" s="19"/>
      <c r="J130" s="11"/>
    </row>
    <row r="131" spans="1:18" s="2" customFormat="1" ht="14.45" customHeight="1">
      <c r="A131" s="41"/>
      <c r="B131" s="5"/>
      <c r="C131" s="21"/>
      <c r="D131" s="22"/>
      <c r="E131" s="8"/>
      <c r="F131" s="9"/>
      <c r="G131" s="9"/>
      <c r="H131" s="10"/>
      <c r="J131" s="11"/>
      <c r="O131" s="12"/>
      <c r="P131" s="12"/>
      <c r="Q131" s="12"/>
      <c r="R131" s="12"/>
    </row>
    <row r="132" spans="1:18" s="2" customFormat="1" ht="14.45" customHeight="1">
      <c r="A132" s="23"/>
      <c r="B132" s="14" t="s">
        <v>41</v>
      </c>
      <c r="C132" s="24" t="s">
        <v>55</v>
      </c>
      <c r="D132" s="25">
        <v>2</v>
      </c>
      <c r="E132" s="17" t="s">
        <v>325</v>
      </c>
      <c r="F132" s="18"/>
      <c r="G132" s="18">
        <f t="shared" ref="G132" si="30">D132*F132</f>
        <v>0</v>
      </c>
      <c r="H132" s="19"/>
      <c r="J132" s="11"/>
    </row>
    <row r="133" spans="1:18" s="2" customFormat="1" ht="14.45" customHeight="1">
      <c r="A133" s="41"/>
      <c r="B133" s="5"/>
      <c r="C133" s="21"/>
      <c r="D133" s="22"/>
      <c r="E133" s="8"/>
      <c r="F133" s="9"/>
      <c r="G133" s="9"/>
      <c r="H133" s="10"/>
      <c r="J133" s="11"/>
      <c r="O133" s="12"/>
      <c r="P133" s="12"/>
      <c r="Q133" s="12"/>
      <c r="R133" s="12"/>
    </row>
    <row r="134" spans="1:18" s="2" customFormat="1" ht="14.45" customHeight="1">
      <c r="A134" s="23"/>
      <c r="B134" s="14" t="s">
        <v>41</v>
      </c>
      <c r="C134" s="24" t="s">
        <v>56</v>
      </c>
      <c r="D134" s="25">
        <v>14</v>
      </c>
      <c r="E134" s="17" t="s">
        <v>325</v>
      </c>
      <c r="F134" s="18"/>
      <c r="G134" s="18">
        <f t="shared" ref="G134" si="31">D134*F134</f>
        <v>0</v>
      </c>
      <c r="H134" s="19"/>
      <c r="J134" s="11"/>
    </row>
    <row r="135" spans="1:18" s="2" customFormat="1" ht="14.45" customHeight="1">
      <c r="A135" s="41"/>
      <c r="B135" s="5"/>
      <c r="C135" s="21"/>
      <c r="D135" s="22"/>
      <c r="E135" s="8"/>
      <c r="F135" s="9"/>
      <c r="G135" s="9"/>
      <c r="H135" s="10"/>
      <c r="J135" s="11"/>
      <c r="O135" s="12"/>
      <c r="P135" s="12"/>
      <c r="Q135" s="12"/>
      <c r="R135" s="12"/>
    </row>
    <row r="136" spans="1:18" s="2" customFormat="1" ht="14.45" customHeight="1">
      <c r="A136" s="23"/>
      <c r="B136" s="14" t="s">
        <v>41</v>
      </c>
      <c r="C136" s="24" t="s">
        <v>57</v>
      </c>
      <c r="D136" s="25">
        <v>5</v>
      </c>
      <c r="E136" s="17" t="s">
        <v>325</v>
      </c>
      <c r="F136" s="18"/>
      <c r="G136" s="18">
        <f t="shared" ref="G136" si="32">D136*F136</f>
        <v>0</v>
      </c>
      <c r="H136" s="19"/>
      <c r="J136" s="11"/>
    </row>
    <row r="137" spans="1:18" s="2" customFormat="1" ht="14.45" customHeight="1">
      <c r="A137" s="41"/>
      <c r="B137" s="5"/>
      <c r="C137" s="21"/>
      <c r="D137" s="22"/>
      <c r="E137" s="8"/>
      <c r="F137" s="9"/>
      <c r="G137" s="9"/>
      <c r="H137" s="10"/>
      <c r="J137" s="11"/>
      <c r="O137" s="12"/>
      <c r="P137" s="12"/>
      <c r="Q137" s="12"/>
      <c r="R137" s="12"/>
    </row>
    <row r="138" spans="1:18" s="2" customFormat="1" ht="14.45" customHeight="1">
      <c r="A138" s="42"/>
      <c r="B138" s="30" t="s">
        <v>41</v>
      </c>
      <c r="C138" s="30" t="s">
        <v>58</v>
      </c>
      <c r="D138" s="31">
        <v>1</v>
      </c>
      <c r="E138" s="29" t="s">
        <v>325</v>
      </c>
      <c r="F138" s="32"/>
      <c r="G138" s="32">
        <f t="shared" ref="G138" si="33">D138*F138</f>
        <v>0</v>
      </c>
      <c r="H138" s="33"/>
      <c r="J138" s="11"/>
    </row>
    <row r="139" spans="1:18" s="2" customFormat="1" ht="14.45" customHeight="1">
      <c r="A139" s="34"/>
      <c r="B139" s="35"/>
      <c r="C139" s="36"/>
      <c r="D139" s="37"/>
      <c r="E139" s="38"/>
      <c r="F139" s="39"/>
      <c r="G139" s="39"/>
      <c r="H139" s="40"/>
      <c r="J139" s="11"/>
      <c r="O139" s="12"/>
      <c r="P139" s="12"/>
      <c r="Q139" s="12"/>
      <c r="R139" s="12"/>
    </row>
    <row r="140" spans="1:18" s="2" customFormat="1" ht="14.45" customHeight="1">
      <c r="A140" s="23"/>
      <c r="B140" s="14" t="s">
        <v>41</v>
      </c>
      <c r="C140" s="24" t="s">
        <v>59</v>
      </c>
      <c r="D140" s="25">
        <v>1</v>
      </c>
      <c r="E140" s="17" t="s">
        <v>325</v>
      </c>
      <c r="F140" s="18"/>
      <c r="G140" s="18">
        <f t="shared" ref="G140" si="34">D140*F140</f>
        <v>0</v>
      </c>
      <c r="H140" s="19"/>
      <c r="J140" s="11"/>
    </row>
    <row r="141" spans="1:18" s="2" customFormat="1" ht="14.45" customHeight="1">
      <c r="A141" s="41"/>
      <c r="B141" s="45"/>
      <c r="C141" s="46" t="s">
        <v>1</v>
      </c>
      <c r="D141" s="47"/>
      <c r="E141" s="48"/>
      <c r="F141" s="9"/>
      <c r="G141" s="9"/>
      <c r="H141" s="10"/>
      <c r="J141" s="11"/>
      <c r="O141" s="12"/>
      <c r="P141" s="12"/>
      <c r="Q141" s="12"/>
      <c r="R141" s="12"/>
    </row>
    <row r="142" spans="1:18" s="2" customFormat="1" ht="14.45" customHeight="1">
      <c r="A142" s="23"/>
      <c r="B142" s="49" t="s">
        <v>0</v>
      </c>
      <c r="C142" s="50" t="s">
        <v>60</v>
      </c>
      <c r="D142" s="51">
        <v>5</v>
      </c>
      <c r="E142" s="52" t="s">
        <v>29</v>
      </c>
      <c r="F142" s="18"/>
      <c r="G142" s="18">
        <f t="shared" ref="G142" si="35">D142*F142</f>
        <v>0</v>
      </c>
      <c r="H142" s="19"/>
      <c r="J142" s="11"/>
    </row>
    <row r="143" spans="1:18" s="2" customFormat="1" ht="14.45" customHeight="1">
      <c r="A143" s="41"/>
      <c r="B143" s="5"/>
      <c r="C143" s="21"/>
      <c r="D143" s="22"/>
      <c r="E143" s="8"/>
      <c r="F143" s="9"/>
      <c r="G143" s="9"/>
      <c r="H143" s="10"/>
      <c r="J143" s="11"/>
      <c r="O143" s="12"/>
      <c r="P143" s="12"/>
      <c r="Q143" s="12"/>
      <c r="R143" s="12"/>
    </row>
    <row r="144" spans="1:18" s="2" customFormat="1" ht="14.45" customHeight="1">
      <c r="A144" s="23"/>
      <c r="B144" s="14" t="s">
        <v>31</v>
      </c>
      <c r="C144" s="24" t="s">
        <v>62</v>
      </c>
      <c r="D144" s="25">
        <v>1</v>
      </c>
      <c r="E144" s="17" t="s">
        <v>4</v>
      </c>
      <c r="F144" s="18"/>
      <c r="G144" s="18"/>
      <c r="H144" s="19"/>
      <c r="J144" s="11"/>
    </row>
    <row r="145" spans="1:18" s="2" customFormat="1" ht="14.45" customHeight="1">
      <c r="A145" s="41"/>
      <c r="B145" s="5"/>
      <c r="C145" s="21"/>
      <c r="D145" s="22"/>
      <c r="E145" s="8"/>
      <c r="F145" s="9"/>
      <c r="G145" s="9"/>
      <c r="H145" s="10"/>
      <c r="J145" s="11"/>
      <c r="O145" s="12"/>
      <c r="P145" s="12"/>
      <c r="Q145" s="12"/>
      <c r="R145" s="12"/>
    </row>
    <row r="146" spans="1:18" s="2" customFormat="1" ht="14.45" customHeight="1">
      <c r="A146" s="23"/>
      <c r="B146" s="14"/>
      <c r="C146" s="24"/>
      <c r="D146" s="25"/>
      <c r="E146" s="17"/>
      <c r="F146" s="18"/>
      <c r="G146" s="18"/>
      <c r="H146" s="19"/>
      <c r="J146" s="11"/>
    </row>
    <row r="147" spans="1:18" s="2" customFormat="1" ht="14.45" customHeight="1">
      <c r="A147" s="41"/>
      <c r="B147" s="45"/>
      <c r="C147" s="46"/>
      <c r="D147" s="47"/>
      <c r="E147" s="48"/>
      <c r="F147" s="9"/>
      <c r="G147" s="9"/>
      <c r="H147" s="10"/>
      <c r="J147" s="11"/>
      <c r="O147" s="12"/>
      <c r="P147" s="12"/>
      <c r="Q147" s="12"/>
      <c r="R147" s="12"/>
    </row>
    <row r="148" spans="1:18" s="2" customFormat="1" ht="14.45" customHeight="1">
      <c r="A148" s="23"/>
      <c r="B148" s="49"/>
      <c r="C148" s="50"/>
      <c r="D148" s="51"/>
      <c r="E148" s="52"/>
      <c r="F148" s="18"/>
      <c r="G148" s="18"/>
      <c r="H148" s="19"/>
      <c r="J148" s="11"/>
    </row>
    <row r="149" spans="1:18" s="2" customFormat="1" ht="14.45" customHeight="1">
      <c r="A149" s="41"/>
      <c r="B149" s="5"/>
      <c r="C149" s="21"/>
      <c r="D149" s="22"/>
      <c r="E149" s="8"/>
      <c r="F149" s="9"/>
      <c r="G149" s="9"/>
      <c r="H149" s="10"/>
      <c r="J149" s="11"/>
      <c r="O149" s="12"/>
      <c r="P149" s="12"/>
      <c r="Q149" s="12"/>
      <c r="R149" s="12"/>
    </row>
    <row r="150" spans="1:18" s="2" customFormat="1" ht="14.45" customHeight="1">
      <c r="A150" s="23"/>
      <c r="B150" s="14"/>
      <c r="C150" s="24"/>
      <c r="D150" s="25"/>
      <c r="E150" s="17"/>
      <c r="F150" s="18"/>
      <c r="G150" s="18"/>
      <c r="H150" s="19"/>
      <c r="J150" s="11"/>
    </row>
    <row r="151" spans="1:18" s="2" customFormat="1" ht="14.45" customHeight="1">
      <c r="A151" s="41"/>
      <c r="B151" s="5"/>
      <c r="C151" s="21"/>
      <c r="D151" s="22"/>
      <c r="E151" s="8"/>
      <c r="F151" s="9"/>
      <c r="G151" s="9"/>
      <c r="H151" s="10"/>
      <c r="J151" s="11"/>
      <c r="O151" s="12"/>
      <c r="P151" s="12"/>
      <c r="Q151" s="12"/>
      <c r="R151" s="12"/>
    </row>
    <row r="152" spans="1:18" s="2" customFormat="1" ht="14.45" customHeight="1">
      <c r="A152" s="23"/>
      <c r="B152" s="14"/>
      <c r="C152" s="24"/>
      <c r="D152" s="25"/>
      <c r="E152" s="17"/>
      <c r="F152" s="18"/>
      <c r="G152" s="18"/>
      <c r="H152" s="19"/>
      <c r="J152" s="11"/>
    </row>
    <row r="153" spans="1:18" s="2" customFormat="1" ht="14.45" customHeight="1">
      <c r="A153" s="41"/>
      <c r="B153" s="5"/>
      <c r="C153" s="21"/>
      <c r="D153" s="22"/>
      <c r="E153" s="8"/>
      <c r="F153" s="9"/>
      <c r="G153" s="9"/>
      <c r="H153" s="10"/>
      <c r="J153" s="11"/>
      <c r="O153" s="12"/>
      <c r="P153" s="12"/>
      <c r="Q153" s="12"/>
      <c r="R153" s="12"/>
    </row>
    <row r="154" spans="1:18" s="2" customFormat="1" ht="14.45" customHeight="1">
      <c r="A154" s="23"/>
      <c r="B154" s="14"/>
      <c r="C154" s="24"/>
      <c r="D154" s="25"/>
      <c r="E154" s="17"/>
      <c r="F154" s="18"/>
      <c r="G154" s="18"/>
      <c r="H154" s="19"/>
      <c r="J154" s="11"/>
    </row>
    <row r="155" spans="1:18" s="2" customFormat="1" ht="14.45" customHeight="1">
      <c r="A155" s="41"/>
      <c r="B155" s="5"/>
      <c r="C155" s="21"/>
      <c r="D155" s="22"/>
      <c r="E155" s="8"/>
      <c r="F155" s="9"/>
      <c r="G155" s="9"/>
      <c r="H155" s="10"/>
      <c r="J155" s="11"/>
      <c r="O155" s="12"/>
      <c r="P155" s="12"/>
      <c r="Q155" s="12"/>
      <c r="R155" s="12"/>
    </row>
    <row r="156" spans="1:18" s="2" customFormat="1" ht="14.45" customHeight="1">
      <c r="A156" s="23"/>
      <c r="B156" s="14"/>
      <c r="C156" s="24"/>
      <c r="D156" s="25"/>
      <c r="E156" s="17"/>
      <c r="F156" s="18"/>
      <c r="G156" s="18"/>
      <c r="H156" s="19"/>
      <c r="J156" s="11"/>
    </row>
    <row r="157" spans="1:18" s="2" customFormat="1" ht="14.45" customHeight="1">
      <c r="A157" s="41"/>
      <c r="B157" s="5"/>
      <c r="C157" s="21"/>
      <c r="D157" s="22"/>
      <c r="E157" s="8"/>
      <c r="F157" s="9"/>
      <c r="G157" s="9"/>
      <c r="H157" s="10"/>
      <c r="J157" s="11"/>
      <c r="O157" s="12"/>
      <c r="P157" s="12"/>
      <c r="Q157" s="12"/>
      <c r="R157" s="12"/>
    </row>
    <row r="158" spans="1:18" s="2" customFormat="1" ht="14.45" customHeight="1">
      <c r="A158" s="23"/>
      <c r="B158" s="14"/>
      <c r="C158" s="24"/>
      <c r="D158" s="25"/>
      <c r="E158" s="17"/>
      <c r="F158" s="18"/>
      <c r="G158" s="18"/>
      <c r="H158" s="19"/>
      <c r="J158" s="11"/>
    </row>
    <row r="159" spans="1:18" s="2" customFormat="1" ht="14.45" customHeight="1">
      <c r="A159" s="41"/>
      <c r="B159" s="5"/>
      <c r="C159" s="21"/>
      <c r="D159" s="22"/>
      <c r="E159" s="8"/>
      <c r="F159" s="9"/>
      <c r="G159" s="9"/>
      <c r="H159" s="10"/>
      <c r="J159" s="11"/>
      <c r="O159" s="12"/>
      <c r="P159" s="12"/>
      <c r="Q159" s="12"/>
      <c r="R159" s="12"/>
    </row>
    <row r="160" spans="1:18" s="2" customFormat="1" ht="14.45" customHeight="1">
      <c r="A160" s="23"/>
      <c r="B160" s="14"/>
      <c r="C160" s="24"/>
      <c r="D160" s="25"/>
      <c r="E160" s="17"/>
      <c r="F160" s="18"/>
      <c r="G160" s="18"/>
      <c r="H160" s="19"/>
      <c r="J160" s="11"/>
    </row>
    <row r="161" spans="1:18" s="2" customFormat="1" ht="14.45" customHeight="1">
      <c r="A161" s="41"/>
      <c r="B161" s="5"/>
      <c r="C161" s="21"/>
      <c r="D161" s="22"/>
      <c r="E161" s="8"/>
      <c r="F161" s="9"/>
      <c r="G161" s="9"/>
      <c r="H161" s="10"/>
      <c r="J161" s="11"/>
      <c r="O161" s="12"/>
      <c r="P161" s="12"/>
      <c r="Q161" s="12"/>
      <c r="R161" s="12"/>
    </row>
    <row r="162" spans="1:18" s="2" customFormat="1" ht="14.45" customHeight="1">
      <c r="A162" s="23"/>
      <c r="B162" s="14"/>
      <c r="C162" s="24"/>
      <c r="D162" s="25"/>
      <c r="E162" s="17"/>
      <c r="F162" s="18"/>
      <c r="G162" s="18"/>
      <c r="H162" s="19"/>
      <c r="J162" s="11"/>
    </row>
    <row r="163" spans="1:18" s="2" customFormat="1" ht="14.45" customHeight="1">
      <c r="A163" s="41"/>
      <c r="B163" s="5"/>
      <c r="C163" s="21"/>
      <c r="D163" s="22"/>
      <c r="E163" s="8"/>
      <c r="F163" s="9"/>
      <c r="G163" s="9"/>
      <c r="H163" s="10"/>
      <c r="J163" s="11"/>
      <c r="O163" s="12"/>
      <c r="P163" s="12"/>
      <c r="Q163" s="12"/>
      <c r="R163" s="12"/>
    </row>
    <row r="164" spans="1:18" s="2" customFormat="1" ht="14.45" customHeight="1">
      <c r="A164" s="23"/>
      <c r="B164" s="14"/>
      <c r="C164" s="24"/>
      <c r="D164" s="25"/>
      <c r="E164" s="17"/>
      <c r="F164" s="18"/>
      <c r="G164" s="18"/>
      <c r="H164" s="19"/>
      <c r="J164" s="11"/>
    </row>
    <row r="165" spans="1:18" s="2" customFormat="1" ht="14.45" customHeight="1">
      <c r="A165" s="41"/>
      <c r="B165" s="5"/>
      <c r="C165" s="21"/>
      <c r="D165" s="22"/>
      <c r="E165" s="8"/>
      <c r="F165" s="9"/>
      <c r="G165" s="9"/>
      <c r="H165" s="10"/>
      <c r="J165" s="11"/>
      <c r="O165" s="12"/>
      <c r="P165" s="12"/>
      <c r="Q165" s="12"/>
      <c r="R165" s="12"/>
    </row>
    <row r="166" spans="1:18" s="2" customFormat="1" ht="14.45" customHeight="1">
      <c r="A166" s="23"/>
      <c r="B166" s="14"/>
      <c r="C166" s="24"/>
      <c r="D166" s="25"/>
      <c r="E166" s="17"/>
      <c r="F166" s="18"/>
      <c r="G166" s="18"/>
      <c r="H166" s="19"/>
      <c r="J166" s="11"/>
    </row>
    <row r="167" spans="1:18" s="2" customFormat="1" ht="14.45" customHeight="1">
      <c r="A167" s="41"/>
      <c r="B167" s="5"/>
      <c r="C167" s="21"/>
      <c r="D167" s="22"/>
      <c r="E167" s="8"/>
      <c r="F167" s="9"/>
      <c r="G167" s="9"/>
      <c r="H167" s="10"/>
      <c r="J167" s="11"/>
      <c r="O167" s="12"/>
      <c r="P167" s="12"/>
      <c r="Q167" s="12"/>
      <c r="R167" s="12"/>
    </row>
    <row r="168" spans="1:18" s="2" customFormat="1" ht="14.45" customHeight="1">
      <c r="A168" s="23"/>
      <c r="B168" s="14"/>
      <c r="C168" s="24"/>
      <c r="D168" s="25"/>
      <c r="E168" s="17"/>
      <c r="F168" s="18"/>
      <c r="G168" s="18"/>
      <c r="H168" s="19"/>
      <c r="J168" s="11"/>
    </row>
    <row r="169" spans="1:18" s="2" customFormat="1" ht="14.45" customHeight="1">
      <c r="A169" s="41"/>
      <c r="B169" s="5"/>
      <c r="C169" s="21"/>
      <c r="D169" s="22"/>
      <c r="E169" s="8"/>
      <c r="F169" s="9"/>
      <c r="G169" s="9"/>
      <c r="H169" s="10"/>
      <c r="J169" s="11"/>
      <c r="O169" s="12"/>
      <c r="P169" s="12"/>
      <c r="Q169" s="12"/>
      <c r="R169" s="12"/>
    </row>
    <row r="170" spans="1:18" s="2" customFormat="1" ht="14.45" customHeight="1">
      <c r="A170" s="23"/>
      <c r="B170" s="14"/>
      <c r="C170" s="24"/>
      <c r="D170" s="25"/>
      <c r="E170" s="17"/>
      <c r="F170" s="18"/>
      <c r="G170" s="18"/>
      <c r="H170" s="19"/>
      <c r="J170" s="11"/>
    </row>
    <row r="171" spans="1:18" s="2" customFormat="1" ht="14.45" customHeight="1">
      <c r="A171" s="41"/>
      <c r="B171" s="5"/>
      <c r="C171" s="21"/>
      <c r="D171" s="22"/>
      <c r="E171" s="8"/>
      <c r="F171" s="9"/>
      <c r="G171" s="9"/>
      <c r="H171" s="10"/>
      <c r="J171" s="11"/>
      <c r="O171" s="12"/>
      <c r="P171" s="12"/>
      <c r="Q171" s="12"/>
      <c r="R171" s="12"/>
    </row>
    <row r="172" spans="1:18" s="2" customFormat="1" ht="14.45" customHeight="1">
      <c r="A172" s="42"/>
      <c r="B172" s="53" t="s">
        <v>43</v>
      </c>
      <c r="C172" s="30"/>
      <c r="D172" s="31"/>
      <c r="E172" s="29"/>
      <c r="F172" s="32"/>
      <c r="G172" s="32">
        <f>SUM(G109:G170)</f>
        <v>0</v>
      </c>
      <c r="H172" s="33"/>
      <c r="J172" s="11"/>
    </row>
    <row r="173" spans="1:18" s="2" customFormat="1" ht="14.45" customHeight="1">
      <c r="A173" s="34"/>
      <c r="B173" s="35"/>
      <c r="C173" s="36"/>
      <c r="D173" s="37"/>
      <c r="E173" s="38"/>
      <c r="F173" s="39"/>
      <c r="G173" s="39"/>
      <c r="H173" s="40"/>
      <c r="J173" s="11"/>
      <c r="O173" s="12"/>
      <c r="P173" s="12"/>
      <c r="Q173" s="12"/>
      <c r="R173" s="12"/>
    </row>
    <row r="174" spans="1:18" s="2" customFormat="1" ht="14.45" customHeight="1">
      <c r="A174" s="763">
        <v>3</v>
      </c>
      <c r="B174" s="49" t="s">
        <v>318</v>
      </c>
      <c r="C174" s="50"/>
      <c r="D174" s="51"/>
      <c r="E174" s="52"/>
      <c r="F174" s="764"/>
      <c r="G174" s="764"/>
      <c r="H174" s="765"/>
      <c r="J174" s="11"/>
    </row>
    <row r="175" spans="1:18" s="2" customFormat="1" ht="14.45" customHeight="1">
      <c r="A175" s="766"/>
      <c r="B175" s="45"/>
      <c r="C175" s="46"/>
      <c r="D175" s="47"/>
      <c r="E175" s="48"/>
      <c r="F175" s="767"/>
      <c r="G175" s="767"/>
      <c r="H175" s="768"/>
      <c r="J175" s="11"/>
      <c r="O175" s="12"/>
      <c r="P175" s="12"/>
      <c r="Q175" s="12"/>
      <c r="R175" s="12"/>
    </row>
    <row r="176" spans="1:18" s="2" customFormat="1" ht="14.45" customHeight="1">
      <c r="A176" s="763"/>
      <c r="B176" s="49" t="s">
        <v>319</v>
      </c>
      <c r="C176" s="50"/>
      <c r="D176" s="51">
        <v>1</v>
      </c>
      <c r="E176" s="52" t="s">
        <v>42</v>
      </c>
      <c r="F176" s="764"/>
      <c r="G176" s="764"/>
      <c r="H176" s="765"/>
      <c r="J176" s="11"/>
    </row>
    <row r="177" spans="1:18" s="2" customFormat="1" ht="14.45" customHeight="1">
      <c r="A177" s="41"/>
      <c r="B177" s="5"/>
      <c r="C177" s="21"/>
      <c r="D177" s="22"/>
      <c r="E177" s="8"/>
      <c r="F177" s="9"/>
      <c r="G177" s="9"/>
      <c r="H177" s="10"/>
      <c r="J177" s="11"/>
      <c r="O177" s="12"/>
      <c r="P177" s="12"/>
      <c r="Q177" s="12"/>
      <c r="R177" s="12"/>
    </row>
    <row r="178" spans="1:18" s="2" customFormat="1" ht="14.45" customHeight="1">
      <c r="A178" s="23"/>
      <c r="B178" s="14"/>
      <c r="C178" s="24"/>
      <c r="D178" s="25"/>
      <c r="E178" s="17"/>
      <c r="F178" s="18"/>
      <c r="G178" s="18"/>
      <c r="H178" s="19"/>
      <c r="J178" s="11"/>
    </row>
    <row r="179" spans="1:18" s="2" customFormat="1" ht="14.45" customHeight="1">
      <c r="A179" s="41"/>
      <c r="B179" s="5"/>
      <c r="C179" s="21"/>
      <c r="D179" s="22"/>
      <c r="E179" s="8"/>
      <c r="F179" s="9"/>
      <c r="G179" s="9"/>
      <c r="H179" s="10"/>
      <c r="J179" s="11"/>
      <c r="O179" s="12"/>
      <c r="P179" s="12"/>
      <c r="Q179" s="12"/>
      <c r="R179" s="12"/>
    </row>
    <row r="180" spans="1:18" s="2" customFormat="1" ht="14.45" customHeight="1">
      <c r="A180" s="23"/>
      <c r="B180" s="14"/>
      <c r="C180" s="24"/>
      <c r="D180" s="25"/>
      <c r="E180" s="17"/>
      <c r="F180" s="18"/>
      <c r="G180" s="18"/>
      <c r="H180" s="19"/>
      <c r="J180" s="11"/>
    </row>
    <row r="181" spans="1:18" s="2" customFormat="1" ht="14.45" customHeight="1">
      <c r="A181" s="41"/>
      <c r="B181" s="5"/>
      <c r="C181" s="21"/>
      <c r="D181" s="22"/>
      <c r="E181" s="8"/>
      <c r="F181" s="9"/>
      <c r="G181" s="9"/>
      <c r="H181" s="10"/>
      <c r="J181" s="11"/>
      <c r="O181" s="12"/>
      <c r="P181" s="12"/>
      <c r="Q181" s="12"/>
      <c r="R181" s="12"/>
    </row>
    <row r="182" spans="1:18" s="2" customFormat="1" ht="14.45" customHeight="1">
      <c r="A182" s="23"/>
      <c r="B182" s="14"/>
      <c r="C182" s="24"/>
      <c r="D182" s="25"/>
      <c r="E182" s="17"/>
      <c r="F182" s="18"/>
      <c r="G182" s="18"/>
      <c r="H182" s="19"/>
      <c r="J182" s="11"/>
    </row>
    <row r="183" spans="1:18" s="2" customFormat="1" ht="14.45" customHeight="1">
      <c r="A183" s="41"/>
      <c r="B183" s="5"/>
      <c r="C183" s="21"/>
      <c r="D183" s="22"/>
      <c r="E183" s="8"/>
      <c r="F183" s="9"/>
      <c r="G183" s="9"/>
      <c r="H183" s="10"/>
      <c r="J183" s="11"/>
      <c r="O183" s="12"/>
      <c r="P183" s="12"/>
      <c r="Q183" s="12"/>
      <c r="R183" s="12"/>
    </row>
    <row r="184" spans="1:18" s="2" customFormat="1" ht="14.45" customHeight="1">
      <c r="A184" s="23"/>
      <c r="B184" s="14"/>
      <c r="C184" s="24"/>
      <c r="D184" s="25"/>
      <c r="E184" s="17"/>
      <c r="F184" s="18"/>
      <c r="G184" s="18"/>
      <c r="H184" s="19"/>
      <c r="J184" s="11"/>
    </row>
    <row r="185" spans="1:18" s="2" customFormat="1" ht="14.45" customHeight="1">
      <c r="A185" s="41"/>
      <c r="B185" s="5"/>
      <c r="C185" s="21"/>
      <c r="D185" s="22"/>
      <c r="E185" s="8"/>
      <c r="F185" s="9"/>
      <c r="G185" s="9"/>
      <c r="H185" s="10"/>
      <c r="J185" s="11"/>
      <c r="O185" s="12"/>
      <c r="P185" s="12"/>
      <c r="Q185" s="12"/>
      <c r="R185" s="12"/>
    </row>
    <row r="186" spans="1:18" s="2" customFormat="1" ht="14.45" customHeight="1">
      <c r="A186" s="23"/>
      <c r="B186" s="14"/>
      <c r="C186" s="24"/>
      <c r="D186" s="25"/>
      <c r="E186" s="17"/>
      <c r="F186" s="18"/>
      <c r="G186" s="18"/>
      <c r="H186" s="19"/>
      <c r="J186" s="11"/>
    </row>
    <row r="187" spans="1:18" s="2" customFormat="1" ht="14.45" customHeight="1">
      <c r="A187" s="41"/>
      <c r="B187" s="5"/>
      <c r="C187" s="21"/>
      <c r="D187" s="22"/>
      <c r="E187" s="8"/>
      <c r="F187" s="9"/>
      <c r="G187" s="9"/>
      <c r="H187" s="10"/>
      <c r="J187" s="11"/>
      <c r="O187" s="12"/>
      <c r="P187" s="12"/>
      <c r="Q187" s="12"/>
      <c r="R187" s="12"/>
    </row>
    <row r="188" spans="1:18" s="2" customFormat="1" ht="14.45" customHeight="1">
      <c r="A188" s="23"/>
      <c r="B188" s="14"/>
      <c r="C188" s="24"/>
      <c r="D188" s="25"/>
      <c r="E188" s="17"/>
      <c r="F188" s="18"/>
      <c r="G188" s="18"/>
      <c r="H188" s="19"/>
      <c r="J188" s="11"/>
    </row>
    <row r="189" spans="1:18" s="2" customFormat="1" ht="14.45" customHeight="1">
      <c r="A189" s="41"/>
      <c r="B189" s="5"/>
      <c r="C189" s="21"/>
      <c r="D189" s="22"/>
      <c r="E189" s="8"/>
      <c r="F189" s="9"/>
      <c r="G189" s="9"/>
      <c r="H189" s="10"/>
      <c r="J189" s="11"/>
      <c r="O189" s="12"/>
      <c r="P189" s="12"/>
      <c r="Q189" s="12"/>
      <c r="R189" s="12"/>
    </row>
    <row r="190" spans="1:18" s="2" customFormat="1" ht="14.45" customHeight="1">
      <c r="A190" s="23"/>
      <c r="B190" s="14"/>
      <c r="C190" s="24"/>
      <c r="D190" s="25"/>
      <c r="E190" s="17"/>
      <c r="F190" s="18"/>
      <c r="G190" s="18"/>
      <c r="H190" s="19"/>
      <c r="J190" s="11"/>
    </row>
    <row r="191" spans="1:18" s="2" customFormat="1" ht="14.45" customHeight="1">
      <c r="A191" s="41"/>
      <c r="B191" s="5"/>
      <c r="C191" s="21"/>
      <c r="D191" s="22"/>
      <c r="E191" s="8"/>
      <c r="F191" s="9"/>
      <c r="G191" s="9"/>
      <c r="H191" s="10"/>
      <c r="J191" s="11"/>
      <c r="O191" s="12"/>
      <c r="P191" s="12"/>
      <c r="Q191" s="12"/>
      <c r="R191" s="12"/>
    </row>
    <row r="192" spans="1:18" s="2" customFormat="1" ht="14.45" customHeight="1">
      <c r="A192" s="23"/>
      <c r="B192" s="14"/>
      <c r="C192" s="24"/>
      <c r="D192" s="25"/>
      <c r="E192" s="17"/>
      <c r="F192" s="18"/>
      <c r="G192" s="18"/>
      <c r="H192" s="19"/>
      <c r="J192" s="11"/>
    </row>
    <row r="193" spans="1:18" s="2" customFormat="1" ht="14.45" customHeight="1">
      <c r="A193" s="41"/>
      <c r="B193" s="5"/>
      <c r="C193" s="21"/>
      <c r="D193" s="22"/>
      <c r="E193" s="8"/>
      <c r="F193" s="9"/>
      <c r="G193" s="9"/>
      <c r="H193" s="10"/>
      <c r="J193" s="11"/>
      <c r="O193" s="12"/>
      <c r="P193" s="12"/>
      <c r="Q193" s="12"/>
      <c r="R193" s="12"/>
    </row>
    <row r="194" spans="1:18" s="2" customFormat="1" ht="14.45" customHeight="1">
      <c r="A194" s="23"/>
      <c r="B194" s="14"/>
      <c r="C194" s="24"/>
      <c r="D194" s="25"/>
      <c r="E194" s="17"/>
      <c r="F194" s="18"/>
      <c r="G194" s="18"/>
      <c r="H194" s="19"/>
      <c r="J194" s="11"/>
    </row>
    <row r="195" spans="1:18" s="2" customFormat="1" ht="14.45" customHeight="1">
      <c r="A195" s="41"/>
      <c r="B195" s="5"/>
      <c r="C195" s="21"/>
      <c r="D195" s="22"/>
      <c r="E195" s="8"/>
      <c r="F195" s="9"/>
      <c r="G195" s="9"/>
      <c r="H195" s="10"/>
      <c r="J195" s="11"/>
      <c r="O195" s="12"/>
      <c r="P195" s="12"/>
      <c r="Q195" s="12"/>
      <c r="R195" s="12"/>
    </row>
    <row r="196" spans="1:18" s="2" customFormat="1" ht="14.45" customHeight="1">
      <c r="A196" s="23"/>
      <c r="B196" s="14"/>
      <c r="C196" s="24"/>
      <c r="D196" s="25"/>
      <c r="E196" s="17"/>
      <c r="F196" s="18"/>
      <c r="G196" s="18"/>
      <c r="H196" s="19"/>
      <c r="J196" s="11"/>
    </row>
    <row r="197" spans="1:18" s="2" customFormat="1" ht="14.45" customHeight="1">
      <c r="A197" s="41"/>
      <c r="B197" s="5"/>
      <c r="C197" s="21"/>
      <c r="D197" s="22"/>
      <c r="E197" s="8"/>
      <c r="F197" s="9"/>
      <c r="G197" s="9"/>
      <c r="H197" s="10"/>
      <c r="J197" s="11"/>
      <c r="O197" s="12"/>
      <c r="P197" s="12"/>
      <c r="Q197" s="12"/>
      <c r="R197" s="12"/>
    </row>
    <row r="198" spans="1:18" s="2" customFormat="1" ht="14.45" customHeight="1">
      <c r="A198" s="23"/>
      <c r="B198" s="14"/>
      <c r="C198" s="24"/>
      <c r="D198" s="25"/>
      <c r="E198" s="17"/>
      <c r="F198" s="18"/>
      <c r="G198" s="18"/>
      <c r="H198" s="19"/>
      <c r="J198" s="11"/>
    </row>
    <row r="199" spans="1:18" s="2" customFormat="1" ht="14.45" customHeight="1">
      <c r="A199" s="41"/>
      <c r="B199" s="5"/>
      <c r="C199" s="21"/>
      <c r="D199" s="22"/>
      <c r="E199" s="8"/>
      <c r="F199" s="9"/>
      <c r="G199" s="9"/>
      <c r="H199" s="10"/>
      <c r="J199" s="11"/>
      <c r="O199" s="12"/>
      <c r="P199" s="12"/>
      <c r="Q199" s="12"/>
      <c r="R199" s="12"/>
    </row>
    <row r="200" spans="1:18" s="2" customFormat="1" ht="14.45" customHeight="1">
      <c r="A200" s="23"/>
      <c r="B200" s="14"/>
      <c r="C200" s="24"/>
      <c r="D200" s="25"/>
      <c r="E200" s="17"/>
      <c r="F200" s="18"/>
      <c r="G200" s="18"/>
      <c r="H200" s="19"/>
      <c r="J200" s="11"/>
    </row>
    <row r="201" spans="1:18" s="2" customFormat="1" ht="14.45" customHeight="1">
      <c r="A201" s="41"/>
      <c r="B201" s="5"/>
      <c r="C201" s="21"/>
      <c r="D201" s="22"/>
      <c r="E201" s="8"/>
      <c r="F201" s="9"/>
      <c r="G201" s="9"/>
      <c r="H201" s="10"/>
      <c r="J201" s="11"/>
      <c r="O201" s="12"/>
      <c r="P201" s="12"/>
      <c r="Q201" s="12"/>
      <c r="R201" s="12"/>
    </row>
    <row r="202" spans="1:18" s="2" customFormat="1" ht="14.45" customHeight="1">
      <c r="A202" s="23"/>
      <c r="B202" s="14"/>
      <c r="C202" s="24"/>
      <c r="D202" s="25"/>
      <c r="E202" s="17"/>
      <c r="F202" s="18"/>
      <c r="G202" s="18"/>
      <c r="H202" s="19"/>
      <c r="J202" s="11"/>
    </row>
    <row r="203" spans="1:18" s="2" customFormat="1" ht="14.45" customHeight="1">
      <c r="A203" s="41"/>
      <c r="B203" s="5"/>
      <c r="C203" s="21"/>
      <c r="D203" s="22"/>
      <c r="E203" s="8"/>
      <c r="F203" s="9"/>
      <c r="G203" s="9"/>
      <c r="H203" s="10"/>
      <c r="J203" s="11"/>
      <c r="O203" s="12"/>
      <c r="P203" s="12"/>
      <c r="Q203" s="12"/>
      <c r="R203" s="12"/>
    </row>
    <row r="204" spans="1:18" s="2" customFormat="1" ht="14.45" customHeight="1">
      <c r="A204" s="23"/>
      <c r="B204" s="14"/>
      <c r="C204" s="24"/>
      <c r="D204" s="25"/>
      <c r="E204" s="17"/>
      <c r="F204" s="18"/>
      <c r="G204" s="18"/>
      <c r="H204" s="19"/>
      <c r="J204" s="11"/>
    </row>
    <row r="205" spans="1:18" s="2" customFormat="1" ht="14.45" customHeight="1">
      <c r="A205" s="41"/>
      <c r="B205" s="5"/>
      <c r="C205" s="21"/>
      <c r="D205" s="22"/>
      <c r="E205" s="8"/>
      <c r="F205" s="9"/>
      <c r="G205" s="9"/>
      <c r="H205" s="10"/>
      <c r="J205" s="11"/>
      <c r="O205" s="12"/>
      <c r="P205" s="12"/>
      <c r="Q205" s="12"/>
      <c r="R205" s="12"/>
    </row>
    <row r="206" spans="1:18" s="2" customFormat="1" ht="14.45" customHeight="1">
      <c r="A206" s="42"/>
      <c r="B206" s="53" t="s">
        <v>43</v>
      </c>
      <c r="C206" s="30"/>
      <c r="D206" s="31"/>
      <c r="E206" s="29"/>
      <c r="F206" s="32"/>
      <c r="G206" s="32">
        <f>SUM(G175:G204)</f>
        <v>0</v>
      </c>
      <c r="H206" s="33"/>
      <c r="J206" s="11"/>
    </row>
    <row r="207" spans="1:18" s="2" customFormat="1" ht="14.45" customHeight="1">
      <c r="A207" s="34"/>
      <c r="B207" s="35"/>
      <c r="C207" s="36"/>
      <c r="D207" s="37"/>
      <c r="E207" s="38"/>
      <c r="F207" s="39"/>
      <c r="G207" s="39"/>
      <c r="H207" s="40"/>
      <c r="J207" s="11"/>
      <c r="O207" s="12"/>
      <c r="P207" s="12"/>
      <c r="Q207" s="12"/>
      <c r="R207" s="12"/>
    </row>
    <row r="208" spans="1:18" s="2" customFormat="1" ht="14.45" customHeight="1">
      <c r="A208" s="763">
        <v>4</v>
      </c>
      <c r="B208" s="49" t="s">
        <v>326</v>
      </c>
      <c r="C208" s="50"/>
      <c r="D208" s="51"/>
      <c r="E208" s="52"/>
      <c r="F208" s="764"/>
      <c r="G208" s="764"/>
      <c r="H208" s="765"/>
      <c r="J208" s="11"/>
    </row>
    <row r="209" spans="1:18" s="2" customFormat="1" ht="14.45" customHeight="1">
      <c r="A209" s="766"/>
      <c r="B209" s="45"/>
      <c r="C209" s="46"/>
      <c r="D209" s="47"/>
      <c r="E209" s="48"/>
      <c r="F209" s="767"/>
      <c r="G209" s="767"/>
      <c r="H209" s="768"/>
      <c r="J209" s="11"/>
      <c r="O209" s="12"/>
      <c r="P209" s="12"/>
      <c r="Q209" s="12"/>
      <c r="R209" s="12"/>
    </row>
    <row r="210" spans="1:18" s="2" customFormat="1" ht="14.45" customHeight="1">
      <c r="A210" s="763"/>
      <c r="B210" s="49" t="s">
        <v>327</v>
      </c>
      <c r="C210" s="50"/>
      <c r="D210" s="51">
        <v>1</v>
      </c>
      <c r="E210" s="52" t="s">
        <v>42</v>
      </c>
      <c r="F210" s="764"/>
      <c r="G210" s="764"/>
      <c r="H210" s="765"/>
      <c r="J210" s="11"/>
    </row>
    <row r="211" spans="1:18" s="2" customFormat="1" ht="14.45" customHeight="1">
      <c r="A211" s="41"/>
      <c r="B211" s="5"/>
      <c r="C211" s="21"/>
      <c r="D211" s="22"/>
      <c r="E211" s="8"/>
      <c r="F211" s="9"/>
      <c r="G211" s="9"/>
      <c r="H211" s="10"/>
      <c r="J211" s="11"/>
      <c r="O211" s="12"/>
      <c r="P211" s="12"/>
      <c r="Q211" s="12"/>
      <c r="R211" s="12"/>
    </row>
    <row r="212" spans="1:18" s="2" customFormat="1" ht="14.45" customHeight="1">
      <c r="A212" s="23"/>
      <c r="B212" s="14"/>
      <c r="C212" s="24"/>
      <c r="D212" s="25"/>
      <c r="E212" s="17"/>
      <c r="F212" s="18"/>
      <c r="G212" s="18"/>
      <c r="H212" s="19"/>
      <c r="J212" s="11"/>
    </row>
    <row r="213" spans="1:18" s="2" customFormat="1" ht="14.45" customHeight="1">
      <c r="A213" s="41"/>
      <c r="B213" s="5"/>
      <c r="C213" s="21"/>
      <c r="D213" s="22"/>
      <c r="E213" s="8"/>
      <c r="F213" s="9"/>
      <c r="G213" s="9"/>
      <c r="H213" s="10"/>
      <c r="J213" s="11"/>
      <c r="O213" s="12"/>
      <c r="P213" s="12"/>
      <c r="Q213" s="12"/>
      <c r="R213" s="12"/>
    </row>
    <row r="214" spans="1:18" s="2" customFormat="1" ht="14.45" customHeight="1">
      <c r="A214" s="23"/>
      <c r="B214" s="14"/>
      <c r="C214" s="24"/>
      <c r="D214" s="25"/>
      <c r="E214" s="17"/>
      <c r="F214" s="18"/>
      <c r="G214" s="18"/>
      <c r="H214" s="19"/>
      <c r="J214" s="11"/>
    </row>
    <row r="215" spans="1:18" s="2" customFormat="1" ht="14.45" customHeight="1">
      <c r="A215" s="41"/>
      <c r="B215" s="5"/>
      <c r="C215" s="21"/>
      <c r="D215" s="22"/>
      <c r="E215" s="8"/>
      <c r="F215" s="9"/>
      <c r="G215" s="9"/>
      <c r="H215" s="10"/>
      <c r="J215" s="11"/>
      <c r="O215" s="12"/>
      <c r="P215" s="12"/>
      <c r="Q215" s="12"/>
      <c r="R215" s="12"/>
    </row>
    <row r="216" spans="1:18" s="2" customFormat="1" ht="14.45" customHeight="1">
      <c r="A216" s="23"/>
      <c r="B216" s="14"/>
      <c r="C216" s="24"/>
      <c r="D216" s="25"/>
      <c r="E216" s="17"/>
      <c r="F216" s="18"/>
      <c r="G216" s="18"/>
      <c r="H216" s="19"/>
      <c r="J216" s="11"/>
    </row>
    <row r="217" spans="1:18" s="2" customFormat="1" ht="14.45" customHeight="1">
      <c r="A217" s="41"/>
      <c r="B217" s="5"/>
      <c r="C217" s="21"/>
      <c r="D217" s="22"/>
      <c r="E217" s="8"/>
      <c r="F217" s="9"/>
      <c r="G217" s="9"/>
      <c r="H217" s="10"/>
      <c r="J217" s="11"/>
      <c r="O217" s="12"/>
      <c r="P217" s="12"/>
      <c r="Q217" s="12"/>
      <c r="R217" s="12"/>
    </row>
    <row r="218" spans="1:18" s="2" customFormat="1" ht="14.45" customHeight="1">
      <c r="A218" s="23"/>
      <c r="B218" s="14"/>
      <c r="C218" s="24"/>
      <c r="D218" s="25"/>
      <c r="E218" s="17"/>
      <c r="F218" s="18"/>
      <c r="G218" s="18"/>
      <c r="H218" s="19"/>
      <c r="J218" s="11"/>
    </row>
    <row r="219" spans="1:18" s="2" customFormat="1" ht="14.45" customHeight="1">
      <c r="A219" s="41"/>
      <c r="B219" s="5"/>
      <c r="C219" s="21"/>
      <c r="D219" s="22"/>
      <c r="E219" s="8"/>
      <c r="F219" s="9"/>
      <c r="G219" s="9"/>
      <c r="H219" s="10"/>
      <c r="J219" s="11"/>
      <c r="O219" s="12"/>
      <c r="P219" s="12"/>
      <c r="Q219" s="12"/>
      <c r="R219" s="12"/>
    </row>
    <row r="220" spans="1:18" s="2" customFormat="1" ht="14.45" customHeight="1">
      <c r="A220" s="23"/>
      <c r="B220" s="14"/>
      <c r="C220" s="24"/>
      <c r="D220" s="25"/>
      <c r="E220" s="17"/>
      <c r="F220" s="18"/>
      <c r="G220" s="18"/>
      <c r="H220" s="19"/>
      <c r="J220" s="11"/>
    </row>
    <row r="221" spans="1:18" s="2" customFormat="1" ht="14.45" customHeight="1">
      <c r="A221" s="41"/>
      <c r="B221" s="5"/>
      <c r="C221" s="21"/>
      <c r="D221" s="22"/>
      <c r="E221" s="8"/>
      <c r="F221" s="9"/>
      <c r="G221" s="9"/>
      <c r="H221" s="10"/>
      <c r="J221" s="11"/>
      <c r="O221" s="12"/>
      <c r="P221" s="12"/>
      <c r="Q221" s="12"/>
      <c r="R221" s="12"/>
    </row>
    <row r="222" spans="1:18" s="2" customFormat="1" ht="14.45" customHeight="1">
      <c r="A222" s="23"/>
      <c r="B222" s="14"/>
      <c r="C222" s="24"/>
      <c r="D222" s="25"/>
      <c r="E222" s="17"/>
      <c r="F222" s="18"/>
      <c r="G222" s="18"/>
      <c r="H222" s="19"/>
      <c r="J222" s="11"/>
    </row>
    <row r="223" spans="1:18" s="2" customFormat="1" ht="14.45" customHeight="1">
      <c r="A223" s="41"/>
      <c r="B223" s="5"/>
      <c r="C223" s="21"/>
      <c r="D223" s="22"/>
      <c r="E223" s="8"/>
      <c r="F223" s="9"/>
      <c r="G223" s="9"/>
      <c r="H223" s="10"/>
      <c r="J223" s="11"/>
      <c r="O223" s="12"/>
      <c r="P223" s="12"/>
      <c r="Q223" s="12"/>
      <c r="R223" s="12"/>
    </row>
    <row r="224" spans="1:18" s="2" customFormat="1" ht="14.45" customHeight="1">
      <c r="A224" s="23"/>
      <c r="B224" s="14"/>
      <c r="C224" s="24"/>
      <c r="D224" s="25"/>
      <c r="E224" s="17"/>
      <c r="F224" s="18"/>
      <c r="G224" s="18"/>
      <c r="H224" s="19"/>
      <c r="J224" s="11"/>
    </row>
    <row r="225" spans="1:18" s="2" customFormat="1" ht="14.45" customHeight="1">
      <c r="A225" s="41"/>
      <c r="B225" s="5"/>
      <c r="C225" s="21"/>
      <c r="D225" s="22"/>
      <c r="E225" s="8"/>
      <c r="F225" s="9"/>
      <c r="G225" s="9"/>
      <c r="H225" s="10"/>
      <c r="J225" s="11"/>
      <c r="O225" s="12"/>
      <c r="P225" s="12"/>
      <c r="Q225" s="12"/>
      <c r="R225" s="12"/>
    </row>
    <row r="226" spans="1:18" s="2" customFormat="1" ht="14.45" customHeight="1">
      <c r="A226" s="23"/>
      <c r="B226" s="14"/>
      <c r="C226" s="24"/>
      <c r="D226" s="25"/>
      <c r="E226" s="17"/>
      <c r="F226" s="18"/>
      <c r="G226" s="18"/>
      <c r="H226" s="19"/>
      <c r="J226" s="11"/>
    </row>
    <row r="227" spans="1:18" s="2" customFormat="1" ht="14.45" customHeight="1">
      <c r="A227" s="41"/>
      <c r="B227" s="5"/>
      <c r="C227" s="21"/>
      <c r="D227" s="22"/>
      <c r="E227" s="8"/>
      <c r="F227" s="9"/>
      <c r="G227" s="9"/>
      <c r="H227" s="10"/>
      <c r="J227" s="11"/>
      <c r="O227" s="12"/>
      <c r="P227" s="12"/>
      <c r="Q227" s="12"/>
      <c r="R227" s="12"/>
    </row>
    <row r="228" spans="1:18" s="2" customFormat="1" ht="14.45" customHeight="1">
      <c r="A228" s="23"/>
      <c r="B228" s="14"/>
      <c r="C228" s="24"/>
      <c r="D228" s="25"/>
      <c r="E228" s="17"/>
      <c r="F228" s="18"/>
      <c r="G228" s="18"/>
      <c r="H228" s="19"/>
      <c r="J228" s="11"/>
    </row>
    <row r="229" spans="1:18" s="2" customFormat="1" ht="14.45" customHeight="1">
      <c r="A229" s="41"/>
      <c r="B229" s="5"/>
      <c r="C229" s="21"/>
      <c r="D229" s="22"/>
      <c r="E229" s="8"/>
      <c r="F229" s="9"/>
      <c r="G229" s="9"/>
      <c r="H229" s="10"/>
      <c r="J229" s="11"/>
      <c r="O229" s="12"/>
      <c r="P229" s="12"/>
      <c r="Q229" s="12"/>
      <c r="R229" s="12"/>
    </row>
    <row r="230" spans="1:18" s="2" customFormat="1" ht="14.45" customHeight="1">
      <c r="A230" s="23"/>
      <c r="B230" s="14"/>
      <c r="C230" s="24"/>
      <c r="D230" s="25"/>
      <c r="E230" s="17"/>
      <c r="F230" s="18"/>
      <c r="G230" s="18"/>
      <c r="H230" s="19"/>
      <c r="J230" s="11"/>
    </row>
    <row r="231" spans="1:18" s="2" customFormat="1" ht="14.45" customHeight="1">
      <c r="A231" s="41"/>
      <c r="B231" s="5"/>
      <c r="C231" s="21"/>
      <c r="D231" s="22"/>
      <c r="E231" s="8"/>
      <c r="F231" s="9"/>
      <c r="G231" s="9"/>
      <c r="H231" s="10"/>
      <c r="J231" s="11"/>
      <c r="O231" s="12"/>
      <c r="P231" s="12"/>
      <c r="Q231" s="12"/>
      <c r="R231" s="12"/>
    </row>
    <row r="232" spans="1:18" s="2" customFormat="1" ht="14.45" customHeight="1">
      <c r="A232" s="23"/>
      <c r="B232" s="14"/>
      <c r="C232" s="24"/>
      <c r="D232" s="25"/>
      <c r="E232" s="17"/>
      <c r="F232" s="18"/>
      <c r="G232" s="18"/>
      <c r="H232" s="19"/>
      <c r="J232" s="11"/>
    </row>
    <row r="233" spans="1:18" s="2" customFormat="1" ht="14.45" customHeight="1">
      <c r="A233" s="41"/>
      <c r="B233" s="5"/>
      <c r="C233" s="21"/>
      <c r="D233" s="22"/>
      <c r="E233" s="8"/>
      <c r="F233" s="9"/>
      <c r="G233" s="9"/>
      <c r="H233" s="10"/>
      <c r="J233" s="11"/>
      <c r="O233" s="12"/>
      <c r="P233" s="12"/>
      <c r="Q233" s="12"/>
      <c r="R233" s="12"/>
    </row>
    <row r="234" spans="1:18" s="2" customFormat="1" ht="14.45" customHeight="1">
      <c r="A234" s="23"/>
      <c r="B234" s="14"/>
      <c r="C234" s="24"/>
      <c r="D234" s="25"/>
      <c r="E234" s="17"/>
      <c r="F234" s="18"/>
      <c r="G234" s="18"/>
      <c r="H234" s="19"/>
      <c r="J234" s="11"/>
    </row>
    <row r="235" spans="1:18" s="2" customFormat="1" ht="14.45" customHeight="1">
      <c r="A235" s="41"/>
      <c r="B235" s="5"/>
      <c r="C235" s="21"/>
      <c r="D235" s="22"/>
      <c r="E235" s="8"/>
      <c r="F235" s="9"/>
      <c r="G235" s="9"/>
      <c r="H235" s="10"/>
      <c r="J235" s="11"/>
      <c r="O235" s="12"/>
      <c r="P235" s="12"/>
      <c r="Q235" s="12"/>
      <c r="R235" s="12"/>
    </row>
    <row r="236" spans="1:18" s="2" customFormat="1" ht="14.45" customHeight="1">
      <c r="A236" s="23"/>
      <c r="B236" s="14"/>
      <c r="C236" s="24"/>
      <c r="D236" s="25"/>
      <c r="E236" s="17"/>
      <c r="F236" s="18"/>
      <c r="G236" s="18"/>
      <c r="H236" s="19"/>
      <c r="J236" s="11"/>
    </row>
    <row r="237" spans="1:18" s="2" customFormat="1" ht="14.45" customHeight="1">
      <c r="A237" s="41"/>
      <c r="B237" s="5"/>
      <c r="C237" s="21"/>
      <c r="D237" s="22"/>
      <c r="E237" s="8"/>
      <c r="F237" s="9"/>
      <c r="G237" s="9"/>
      <c r="H237" s="10"/>
      <c r="J237" s="11"/>
      <c r="O237" s="12"/>
      <c r="P237" s="12"/>
      <c r="Q237" s="12"/>
      <c r="R237" s="12"/>
    </row>
    <row r="238" spans="1:18" s="2" customFormat="1" ht="14.45" customHeight="1">
      <c r="A238" s="23"/>
      <c r="B238" s="14"/>
      <c r="C238" s="24"/>
      <c r="D238" s="25"/>
      <c r="E238" s="17"/>
      <c r="F238" s="18"/>
      <c r="G238" s="18"/>
      <c r="H238" s="19"/>
      <c r="J238" s="11"/>
    </row>
    <row r="239" spans="1:18" s="2" customFormat="1" ht="14.45" customHeight="1">
      <c r="A239" s="41"/>
      <c r="B239" s="5"/>
      <c r="C239" s="21"/>
      <c r="D239" s="22"/>
      <c r="E239" s="8"/>
      <c r="F239" s="9"/>
      <c r="G239" s="9"/>
      <c r="H239" s="10"/>
      <c r="J239" s="11"/>
      <c r="O239" s="12"/>
      <c r="P239" s="12"/>
      <c r="Q239" s="12"/>
      <c r="R239" s="12"/>
    </row>
    <row r="240" spans="1:18" s="2" customFormat="1" ht="14.45" customHeight="1">
      <c r="A240" s="42"/>
      <c r="B240" s="53" t="s">
        <v>43</v>
      </c>
      <c r="C240" s="30"/>
      <c r="D240" s="31"/>
      <c r="E240" s="29"/>
      <c r="F240" s="32"/>
      <c r="G240" s="32">
        <f>SUM(G209:G238)</f>
        <v>0</v>
      </c>
      <c r="H240" s="33"/>
      <c r="J240" s="11"/>
    </row>
    <row r="241" spans="1:8" ht="14.25" customHeight="1">
      <c r="A241" s="43"/>
      <c r="B241" s="43"/>
      <c r="C241" s="43"/>
      <c r="D241" s="43"/>
      <c r="E241" s="43"/>
      <c r="F241" s="43"/>
      <c r="G241" s="43"/>
      <c r="H241" s="43"/>
    </row>
  </sheetData>
  <mergeCells count="7">
    <mergeCell ref="H1:H2"/>
    <mergeCell ref="A1:B2"/>
    <mergeCell ref="C1:C2"/>
    <mergeCell ref="D1:D2"/>
    <mergeCell ref="E1:E2"/>
    <mergeCell ref="F1:F2"/>
    <mergeCell ref="G1:G2"/>
  </mergeCells>
  <phoneticPr fontId="2"/>
  <printOptions horizontalCentered="1" verticalCentered="1"/>
  <pageMargins left="0.62992125984251968" right="0.55118110236220474" top="0.82677165354330717" bottom="0.74803149606299213" header="0.31496062992125984" footer="0.39370078740157483"/>
  <pageSetup paperSize="9" scale="90" orientation="landscape" r:id="rId1"/>
  <headerFooter alignWithMargins="0">
    <oddFooter>&amp;C&amp;"ＭＳ Ｐ明朝,標準"株式会社 ＮＴＴファシリティ－ズ&amp;R&amp;"ＭＳ Ｐ明朝,標準"&amp;UNo.          &amp;P</oddFooter>
  </headerFooter>
  <rowBreaks count="6" manualBreakCount="6">
    <brk id="36" max="16383" man="1"/>
    <brk id="70" max="16383" man="1"/>
    <brk id="104" max="16383" man="1"/>
    <brk id="138" max="16383" man="1"/>
    <brk id="172" max="16383" man="1"/>
    <brk id="2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ED20-9B14-4E6A-94D5-0F3F66CD8772}">
  <sheetPr>
    <pageSetUpPr fitToPage="1"/>
  </sheetPr>
  <dimension ref="B1:N100"/>
  <sheetViews>
    <sheetView view="pageBreakPreview" zoomScaleNormal="100" workbookViewId="0">
      <pane xSplit="4" ySplit="5" topLeftCell="E6" activePane="bottomRight" state="frozen"/>
      <selection activeCell="I19" sqref="I19"/>
      <selection pane="topRight" activeCell="I19" sqref="I19"/>
      <selection pane="bottomLeft" activeCell="I19" sqref="I19"/>
      <selection pane="bottomRight" activeCell="G7" sqref="G7"/>
    </sheetView>
  </sheetViews>
  <sheetFormatPr defaultRowHeight="13.5"/>
  <cols>
    <col min="1" max="1" width="2.625" style="57" customWidth="1"/>
    <col min="2" max="2" width="21.625" style="57" customWidth="1"/>
    <col min="3" max="3" width="14.625" style="57" customWidth="1"/>
    <col min="4" max="4" width="8.625" style="57" customWidth="1"/>
    <col min="5" max="5" width="6.625" style="57" customWidth="1"/>
    <col min="6" max="9" width="10.625" style="58" customWidth="1"/>
    <col min="10" max="10" width="13.125" style="57" hidden="1" customWidth="1"/>
    <col min="11" max="11" width="9" style="57"/>
    <col min="12" max="14" width="12.625" style="60" customWidth="1"/>
    <col min="15" max="256" width="9" style="57"/>
    <col min="257" max="257" width="2.625" style="57" customWidth="1"/>
    <col min="258" max="258" width="21.625" style="57" customWidth="1"/>
    <col min="259" max="259" width="14.625" style="57" customWidth="1"/>
    <col min="260" max="260" width="8.625" style="57" customWidth="1"/>
    <col min="261" max="261" width="6.625" style="57" customWidth="1"/>
    <col min="262" max="265" width="10.625" style="57" customWidth="1"/>
    <col min="266" max="266" width="0" style="57" hidden="1" customWidth="1"/>
    <col min="267" max="512" width="9" style="57"/>
    <col min="513" max="513" width="2.625" style="57" customWidth="1"/>
    <col min="514" max="514" width="21.625" style="57" customWidth="1"/>
    <col min="515" max="515" width="14.625" style="57" customWidth="1"/>
    <col min="516" max="516" width="8.625" style="57" customWidth="1"/>
    <col min="517" max="517" width="6.625" style="57" customWidth="1"/>
    <col min="518" max="521" width="10.625" style="57" customWidth="1"/>
    <col min="522" max="522" width="0" style="57" hidden="1" customWidth="1"/>
    <col min="523" max="768" width="9" style="57"/>
    <col min="769" max="769" width="2.625" style="57" customWidth="1"/>
    <col min="770" max="770" width="21.625" style="57" customWidth="1"/>
    <col min="771" max="771" width="14.625" style="57" customWidth="1"/>
    <col min="772" max="772" width="8.625" style="57" customWidth="1"/>
    <col min="773" max="773" width="6.625" style="57" customWidth="1"/>
    <col min="774" max="777" width="10.625" style="57" customWidth="1"/>
    <col min="778" max="778" width="0" style="57" hidden="1" customWidth="1"/>
    <col min="779" max="1024" width="9" style="57"/>
    <col min="1025" max="1025" width="2.625" style="57" customWidth="1"/>
    <col min="1026" max="1026" width="21.625" style="57" customWidth="1"/>
    <col min="1027" max="1027" width="14.625" style="57" customWidth="1"/>
    <col min="1028" max="1028" width="8.625" style="57" customWidth="1"/>
    <col min="1029" max="1029" width="6.625" style="57" customWidth="1"/>
    <col min="1030" max="1033" width="10.625" style="57" customWidth="1"/>
    <col min="1034" max="1034" width="0" style="57" hidden="1" customWidth="1"/>
    <col min="1035" max="1280" width="9" style="57"/>
    <col min="1281" max="1281" width="2.625" style="57" customWidth="1"/>
    <col min="1282" max="1282" width="21.625" style="57" customWidth="1"/>
    <col min="1283" max="1283" width="14.625" style="57" customWidth="1"/>
    <col min="1284" max="1284" width="8.625" style="57" customWidth="1"/>
    <col min="1285" max="1285" width="6.625" style="57" customWidth="1"/>
    <col min="1286" max="1289" width="10.625" style="57" customWidth="1"/>
    <col min="1290" max="1290" width="0" style="57" hidden="1" customWidth="1"/>
    <col min="1291" max="1536" width="9" style="57"/>
    <col min="1537" max="1537" width="2.625" style="57" customWidth="1"/>
    <col min="1538" max="1538" width="21.625" style="57" customWidth="1"/>
    <col min="1539" max="1539" width="14.625" style="57" customWidth="1"/>
    <col min="1540" max="1540" width="8.625" style="57" customWidth="1"/>
    <col min="1541" max="1541" width="6.625" style="57" customWidth="1"/>
    <col min="1542" max="1545" width="10.625" style="57" customWidth="1"/>
    <col min="1546" max="1546" width="0" style="57" hidden="1" customWidth="1"/>
    <col min="1547" max="1792" width="9" style="57"/>
    <col min="1793" max="1793" width="2.625" style="57" customWidth="1"/>
    <col min="1794" max="1794" width="21.625" style="57" customWidth="1"/>
    <col min="1795" max="1795" width="14.625" style="57" customWidth="1"/>
    <col min="1796" max="1796" width="8.625" style="57" customWidth="1"/>
    <col min="1797" max="1797" width="6.625" style="57" customWidth="1"/>
    <col min="1798" max="1801" width="10.625" style="57" customWidth="1"/>
    <col min="1802" max="1802" width="0" style="57" hidden="1" customWidth="1"/>
    <col min="1803" max="2048" width="9" style="57"/>
    <col min="2049" max="2049" width="2.625" style="57" customWidth="1"/>
    <col min="2050" max="2050" width="21.625" style="57" customWidth="1"/>
    <col min="2051" max="2051" width="14.625" style="57" customWidth="1"/>
    <col min="2052" max="2052" width="8.625" style="57" customWidth="1"/>
    <col min="2053" max="2053" width="6.625" style="57" customWidth="1"/>
    <col min="2054" max="2057" width="10.625" style="57" customWidth="1"/>
    <col min="2058" max="2058" width="0" style="57" hidden="1" customWidth="1"/>
    <col min="2059" max="2304" width="9" style="57"/>
    <col min="2305" max="2305" width="2.625" style="57" customWidth="1"/>
    <col min="2306" max="2306" width="21.625" style="57" customWidth="1"/>
    <col min="2307" max="2307" width="14.625" style="57" customWidth="1"/>
    <col min="2308" max="2308" width="8.625" style="57" customWidth="1"/>
    <col min="2309" max="2309" width="6.625" style="57" customWidth="1"/>
    <col min="2310" max="2313" width="10.625" style="57" customWidth="1"/>
    <col min="2314" max="2314" width="0" style="57" hidden="1" customWidth="1"/>
    <col min="2315" max="2560" width="9" style="57"/>
    <col min="2561" max="2561" width="2.625" style="57" customWidth="1"/>
    <col min="2562" max="2562" width="21.625" style="57" customWidth="1"/>
    <col min="2563" max="2563" width="14.625" style="57" customWidth="1"/>
    <col min="2564" max="2564" width="8.625" style="57" customWidth="1"/>
    <col min="2565" max="2565" width="6.625" style="57" customWidth="1"/>
    <col min="2566" max="2569" width="10.625" style="57" customWidth="1"/>
    <col min="2570" max="2570" width="0" style="57" hidden="1" customWidth="1"/>
    <col min="2571" max="2816" width="9" style="57"/>
    <col min="2817" max="2817" width="2.625" style="57" customWidth="1"/>
    <col min="2818" max="2818" width="21.625" style="57" customWidth="1"/>
    <col min="2819" max="2819" width="14.625" style="57" customWidth="1"/>
    <col min="2820" max="2820" width="8.625" style="57" customWidth="1"/>
    <col min="2821" max="2821" width="6.625" style="57" customWidth="1"/>
    <col min="2822" max="2825" width="10.625" style="57" customWidth="1"/>
    <col min="2826" max="2826" width="0" style="57" hidden="1" customWidth="1"/>
    <col min="2827" max="3072" width="9" style="57"/>
    <col min="3073" max="3073" width="2.625" style="57" customWidth="1"/>
    <col min="3074" max="3074" width="21.625" style="57" customWidth="1"/>
    <col min="3075" max="3075" width="14.625" style="57" customWidth="1"/>
    <col min="3076" max="3076" width="8.625" style="57" customWidth="1"/>
    <col min="3077" max="3077" width="6.625" style="57" customWidth="1"/>
    <col min="3078" max="3081" width="10.625" style="57" customWidth="1"/>
    <col min="3082" max="3082" width="0" style="57" hidden="1" customWidth="1"/>
    <col min="3083" max="3328" width="9" style="57"/>
    <col min="3329" max="3329" width="2.625" style="57" customWidth="1"/>
    <col min="3330" max="3330" width="21.625" style="57" customWidth="1"/>
    <col min="3331" max="3331" width="14.625" style="57" customWidth="1"/>
    <col min="3332" max="3332" width="8.625" style="57" customWidth="1"/>
    <col min="3333" max="3333" width="6.625" style="57" customWidth="1"/>
    <col min="3334" max="3337" width="10.625" style="57" customWidth="1"/>
    <col min="3338" max="3338" width="0" style="57" hidden="1" customWidth="1"/>
    <col min="3339" max="3584" width="9" style="57"/>
    <col min="3585" max="3585" width="2.625" style="57" customWidth="1"/>
    <col min="3586" max="3586" width="21.625" style="57" customWidth="1"/>
    <col min="3587" max="3587" width="14.625" style="57" customWidth="1"/>
    <col min="3588" max="3588" width="8.625" style="57" customWidth="1"/>
    <col min="3589" max="3589" width="6.625" style="57" customWidth="1"/>
    <col min="3590" max="3593" width="10.625" style="57" customWidth="1"/>
    <col min="3594" max="3594" width="0" style="57" hidden="1" customWidth="1"/>
    <col min="3595" max="3840" width="9" style="57"/>
    <col min="3841" max="3841" width="2.625" style="57" customWidth="1"/>
    <col min="3842" max="3842" width="21.625" style="57" customWidth="1"/>
    <col min="3843" max="3843" width="14.625" style="57" customWidth="1"/>
    <col min="3844" max="3844" width="8.625" style="57" customWidth="1"/>
    <col min="3845" max="3845" width="6.625" style="57" customWidth="1"/>
    <col min="3846" max="3849" width="10.625" style="57" customWidth="1"/>
    <col min="3850" max="3850" width="0" style="57" hidden="1" customWidth="1"/>
    <col min="3851" max="4096" width="9" style="57"/>
    <col min="4097" max="4097" width="2.625" style="57" customWidth="1"/>
    <col min="4098" max="4098" width="21.625" style="57" customWidth="1"/>
    <col min="4099" max="4099" width="14.625" style="57" customWidth="1"/>
    <col min="4100" max="4100" width="8.625" style="57" customWidth="1"/>
    <col min="4101" max="4101" width="6.625" style="57" customWidth="1"/>
    <col min="4102" max="4105" width="10.625" style="57" customWidth="1"/>
    <col min="4106" max="4106" width="0" style="57" hidden="1" customWidth="1"/>
    <col min="4107" max="4352" width="9" style="57"/>
    <col min="4353" max="4353" width="2.625" style="57" customWidth="1"/>
    <col min="4354" max="4354" width="21.625" style="57" customWidth="1"/>
    <col min="4355" max="4355" width="14.625" style="57" customWidth="1"/>
    <col min="4356" max="4356" width="8.625" style="57" customWidth="1"/>
    <col min="4357" max="4357" width="6.625" style="57" customWidth="1"/>
    <col min="4358" max="4361" width="10.625" style="57" customWidth="1"/>
    <col min="4362" max="4362" width="0" style="57" hidden="1" customWidth="1"/>
    <col min="4363" max="4608" width="9" style="57"/>
    <col min="4609" max="4609" width="2.625" style="57" customWidth="1"/>
    <col min="4610" max="4610" width="21.625" style="57" customWidth="1"/>
    <col min="4611" max="4611" width="14.625" style="57" customWidth="1"/>
    <col min="4612" max="4612" width="8.625" style="57" customWidth="1"/>
    <col min="4613" max="4613" width="6.625" style="57" customWidth="1"/>
    <col min="4614" max="4617" width="10.625" style="57" customWidth="1"/>
    <col min="4618" max="4618" width="0" style="57" hidden="1" customWidth="1"/>
    <col min="4619" max="4864" width="9" style="57"/>
    <col min="4865" max="4865" width="2.625" style="57" customWidth="1"/>
    <col min="4866" max="4866" width="21.625" style="57" customWidth="1"/>
    <col min="4867" max="4867" width="14.625" style="57" customWidth="1"/>
    <col min="4868" max="4868" width="8.625" style="57" customWidth="1"/>
    <col min="4869" max="4869" width="6.625" style="57" customWidth="1"/>
    <col min="4870" max="4873" width="10.625" style="57" customWidth="1"/>
    <col min="4874" max="4874" width="0" style="57" hidden="1" customWidth="1"/>
    <col min="4875" max="5120" width="9" style="57"/>
    <col min="5121" max="5121" width="2.625" style="57" customWidth="1"/>
    <col min="5122" max="5122" width="21.625" style="57" customWidth="1"/>
    <col min="5123" max="5123" width="14.625" style="57" customWidth="1"/>
    <col min="5124" max="5124" width="8.625" style="57" customWidth="1"/>
    <col min="5125" max="5125" width="6.625" style="57" customWidth="1"/>
    <col min="5126" max="5129" width="10.625" style="57" customWidth="1"/>
    <col min="5130" max="5130" width="0" style="57" hidden="1" customWidth="1"/>
    <col min="5131" max="5376" width="9" style="57"/>
    <col min="5377" max="5377" width="2.625" style="57" customWidth="1"/>
    <col min="5378" max="5378" width="21.625" style="57" customWidth="1"/>
    <col min="5379" max="5379" width="14.625" style="57" customWidth="1"/>
    <col min="5380" max="5380" width="8.625" style="57" customWidth="1"/>
    <col min="5381" max="5381" width="6.625" style="57" customWidth="1"/>
    <col min="5382" max="5385" width="10.625" style="57" customWidth="1"/>
    <col min="5386" max="5386" width="0" style="57" hidden="1" customWidth="1"/>
    <col min="5387" max="5632" width="9" style="57"/>
    <col min="5633" max="5633" width="2.625" style="57" customWidth="1"/>
    <col min="5634" max="5634" width="21.625" style="57" customWidth="1"/>
    <col min="5635" max="5635" width="14.625" style="57" customWidth="1"/>
    <col min="5636" max="5636" width="8.625" style="57" customWidth="1"/>
    <col min="5637" max="5637" width="6.625" style="57" customWidth="1"/>
    <col min="5638" max="5641" width="10.625" style="57" customWidth="1"/>
    <col min="5642" max="5642" width="0" style="57" hidden="1" customWidth="1"/>
    <col min="5643" max="5888" width="9" style="57"/>
    <col min="5889" max="5889" width="2.625" style="57" customWidth="1"/>
    <col min="5890" max="5890" width="21.625" style="57" customWidth="1"/>
    <col min="5891" max="5891" width="14.625" style="57" customWidth="1"/>
    <col min="5892" max="5892" width="8.625" style="57" customWidth="1"/>
    <col min="5893" max="5893" width="6.625" style="57" customWidth="1"/>
    <col min="5894" max="5897" width="10.625" style="57" customWidth="1"/>
    <col min="5898" max="5898" width="0" style="57" hidden="1" customWidth="1"/>
    <col min="5899" max="6144" width="9" style="57"/>
    <col min="6145" max="6145" width="2.625" style="57" customWidth="1"/>
    <col min="6146" max="6146" width="21.625" style="57" customWidth="1"/>
    <col min="6147" max="6147" width="14.625" style="57" customWidth="1"/>
    <col min="6148" max="6148" width="8.625" style="57" customWidth="1"/>
    <col min="6149" max="6149" width="6.625" style="57" customWidth="1"/>
    <col min="6150" max="6153" width="10.625" style="57" customWidth="1"/>
    <col min="6154" max="6154" width="0" style="57" hidden="1" customWidth="1"/>
    <col min="6155" max="6400" width="9" style="57"/>
    <col min="6401" max="6401" width="2.625" style="57" customWidth="1"/>
    <col min="6402" max="6402" width="21.625" style="57" customWidth="1"/>
    <col min="6403" max="6403" width="14.625" style="57" customWidth="1"/>
    <col min="6404" max="6404" width="8.625" style="57" customWidth="1"/>
    <col min="6405" max="6405" width="6.625" style="57" customWidth="1"/>
    <col min="6406" max="6409" width="10.625" style="57" customWidth="1"/>
    <col min="6410" max="6410" width="0" style="57" hidden="1" customWidth="1"/>
    <col min="6411" max="6656" width="9" style="57"/>
    <col min="6657" max="6657" width="2.625" style="57" customWidth="1"/>
    <col min="6658" max="6658" width="21.625" style="57" customWidth="1"/>
    <col min="6659" max="6659" width="14.625" style="57" customWidth="1"/>
    <col min="6660" max="6660" width="8.625" style="57" customWidth="1"/>
    <col min="6661" max="6661" width="6.625" style="57" customWidth="1"/>
    <col min="6662" max="6665" width="10.625" style="57" customWidth="1"/>
    <col min="6666" max="6666" width="0" style="57" hidden="1" customWidth="1"/>
    <col min="6667" max="6912" width="9" style="57"/>
    <col min="6913" max="6913" width="2.625" style="57" customWidth="1"/>
    <col min="6914" max="6914" width="21.625" style="57" customWidth="1"/>
    <col min="6915" max="6915" width="14.625" style="57" customWidth="1"/>
    <col min="6916" max="6916" width="8.625" style="57" customWidth="1"/>
    <col min="6917" max="6917" width="6.625" style="57" customWidth="1"/>
    <col min="6918" max="6921" width="10.625" style="57" customWidth="1"/>
    <col min="6922" max="6922" width="0" style="57" hidden="1" customWidth="1"/>
    <col min="6923" max="7168" width="9" style="57"/>
    <col min="7169" max="7169" width="2.625" style="57" customWidth="1"/>
    <col min="7170" max="7170" width="21.625" style="57" customWidth="1"/>
    <col min="7171" max="7171" width="14.625" style="57" customWidth="1"/>
    <col min="7172" max="7172" width="8.625" style="57" customWidth="1"/>
    <col min="7173" max="7173" width="6.625" style="57" customWidth="1"/>
    <col min="7174" max="7177" width="10.625" style="57" customWidth="1"/>
    <col min="7178" max="7178" width="0" style="57" hidden="1" customWidth="1"/>
    <col min="7179" max="7424" width="9" style="57"/>
    <col min="7425" max="7425" width="2.625" style="57" customWidth="1"/>
    <col min="7426" max="7426" width="21.625" style="57" customWidth="1"/>
    <col min="7427" max="7427" width="14.625" style="57" customWidth="1"/>
    <col min="7428" max="7428" width="8.625" style="57" customWidth="1"/>
    <col min="7429" max="7429" width="6.625" style="57" customWidth="1"/>
    <col min="7430" max="7433" width="10.625" style="57" customWidth="1"/>
    <col min="7434" max="7434" width="0" style="57" hidden="1" customWidth="1"/>
    <col min="7435" max="7680" width="9" style="57"/>
    <col min="7681" max="7681" width="2.625" style="57" customWidth="1"/>
    <col min="7682" max="7682" width="21.625" style="57" customWidth="1"/>
    <col min="7683" max="7683" width="14.625" style="57" customWidth="1"/>
    <col min="7684" max="7684" width="8.625" style="57" customWidth="1"/>
    <col min="7685" max="7685" width="6.625" style="57" customWidth="1"/>
    <col min="7686" max="7689" width="10.625" style="57" customWidth="1"/>
    <col min="7690" max="7690" width="0" style="57" hidden="1" customWidth="1"/>
    <col min="7691" max="7936" width="9" style="57"/>
    <col min="7937" max="7937" width="2.625" style="57" customWidth="1"/>
    <col min="7938" max="7938" width="21.625" style="57" customWidth="1"/>
    <col min="7939" max="7939" width="14.625" style="57" customWidth="1"/>
    <col min="7940" max="7940" width="8.625" style="57" customWidth="1"/>
    <col min="7941" max="7941" width="6.625" style="57" customWidth="1"/>
    <col min="7942" max="7945" width="10.625" style="57" customWidth="1"/>
    <col min="7946" max="7946" width="0" style="57" hidden="1" customWidth="1"/>
    <col min="7947" max="8192" width="9" style="57"/>
    <col min="8193" max="8193" width="2.625" style="57" customWidth="1"/>
    <col min="8194" max="8194" width="21.625" style="57" customWidth="1"/>
    <col min="8195" max="8195" width="14.625" style="57" customWidth="1"/>
    <col min="8196" max="8196" width="8.625" style="57" customWidth="1"/>
    <col min="8197" max="8197" width="6.625" style="57" customWidth="1"/>
    <col min="8198" max="8201" width="10.625" style="57" customWidth="1"/>
    <col min="8202" max="8202" width="0" style="57" hidden="1" customWidth="1"/>
    <col min="8203" max="8448" width="9" style="57"/>
    <col min="8449" max="8449" width="2.625" style="57" customWidth="1"/>
    <col min="8450" max="8450" width="21.625" style="57" customWidth="1"/>
    <col min="8451" max="8451" width="14.625" style="57" customWidth="1"/>
    <col min="8452" max="8452" width="8.625" style="57" customWidth="1"/>
    <col min="8453" max="8453" width="6.625" style="57" customWidth="1"/>
    <col min="8454" max="8457" width="10.625" style="57" customWidth="1"/>
    <col min="8458" max="8458" width="0" style="57" hidden="1" customWidth="1"/>
    <col min="8459" max="8704" width="9" style="57"/>
    <col min="8705" max="8705" width="2.625" style="57" customWidth="1"/>
    <col min="8706" max="8706" width="21.625" style="57" customWidth="1"/>
    <col min="8707" max="8707" width="14.625" style="57" customWidth="1"/>
    <col min="8708" max="8708" width="8.625" style="57" customWidth="1"/>
    <col min="8709" max="8709" width="6.625" style="57" customWidth="1"/>
    <col min="8710" max="8713" width="10.625" style="57" customWidth="1"/>
    <col min="8714" max="8714" width="0" style="57" hidden="1" customWidth="1"/>
    <col min="8715" max="8960" width="9" style="57"/>
    <col min="8961" max="8961" width="2.625" style="57" customWidth="1"/>
    <col min="8962" max="8962" width="21.625" style="57" customWidth="1"/>
    <col min="8963" max="8963" width="14.625" style="57" customWidth="1"/>
    <col min="8964" max="8964" width="8.625" style="57" customWidth="1"/>
    <col min="8965" max="8965" width="6.625" style="57" customWidth="1"/>
    <col min="8966" max="8969" width="10.625" style="57" customWidth="1"/>
    <col min="8970" max="8970" width="0" style="57" hidden="1" customWidth="1"/>
    <col min="8971" max="9216" width="9" style="57"/>
    <col min="9217" max="9217" width="2.625" style="57" customWidth="1"/>
    <col min="9218" max="9218" width="21.625" style="57" customWidth="1"/>
    <col min="9219" max="9219" width="14.625" style="57" customWidth="1"/>
    <col min="9220" max="9220" width="8.625" style="57" customWidth="1"/>
    <col min="9221" max="9221" width="6.625" style="57" customWidth="1"/>
    <col min="9222" max="9225" width="10.625" style="57" customWidth="1"/>
    <col min="9226" max="9226" width="0" style="57" hidden="1" customWidth="1"/>
    <col min="9227" max="9472" width="9" style="57"/>
    <col min="9473" max="9473" width="2.625" style="57" customWidth="1"/>
    <col min="9474" max="9474" width="21.625" style="57" customWidth="1"/>
    <col min="9475" max="9475" width="14.625" style="57" customWidth="1"/>
    <col min="9476" max="9476" width="8.625" style="57" customWidth="1"/>
    <col min="9477" max="9477" width="6.625" style="57" customWidth="1"/>
    <col min="9478" max="9481" width="10.625" style="57" customWidth="1"/>
    <col min="9482" max="9482" width="0" style="57" hidden="1" customWidth="1"/>
    <col min="9483" max="9728" width="9" style="57"/>
    <col min="9729" max="9729" width="2.625" style="57" customWidth="1"/>
    <col min="9730" max="9730" width="21.625" style="57" customWidth="1"/>
    <col min="9731" max="9731" width="14.625" style="57" customWidth="1"/>
    <col min="9732" max="9732" width="8.625" style="57" customWidth="1"/>
    <col min="9733" max="9733" width="6.625" style="57" customWidth="1"/>
    <col min="9734" max="9737" width="10.625" style="57" customWidth="1"/>
    <col min="9738" max="9738" width="0" style="57" hidden="1" customWidth="1"/>
    <col min="9739" max="9984" width="9" style="57"/>
    <col min="9985" max="9985" width="2.625" style="57" customWidth="1"/>
    <col min="9986" max="9986" width="21.625" style="57" customWidth="1"/>
    <col min="9987" max="9987" width="14.625" style="57" customWidth="1"/>
    <col min="9988" max="9988" width="8.625" style="57" customWidth="1"/>
    <col min="9989" max="9989" width="6.625" style="57" customWidth="1"/>
    <col min="9990" max="9993" width="10.625" style="57" customWidth="1"/>
    <col min="9994" max="9994" width="0" style="57" hidden="1" customWidth="1"/>
    <col min="9995" max="10240" width="9" style="57"/>
    <col min="10241" max="10241" width="2.625" style="57" customWidth="1"/>
    <col min="10242" max="10242" width="21.625" style="57" customWidth="1"/>
    <col min="10243" max="10243" width="14.625" style="57" customWidth="1"/>
    <col min="10244" max="10244" width="8.625" style="57" customWidth="1"/>
    <col min="10245" max="10245" width="6.625" style="57" customWidth="1"/>
    <col min="10246" max="10249" width="10.625" style="57" customWidth="1"/>
    <col min="10250" max="10250" width="0" style="57" hidden="1" customWidth="1"/>
    <col min="10251" max="10496" width="9" style="57"/>
    <col min="10497" max="10497" width="2.625" style="57" customWidth="1"/>
    <col min="10498" max="10498" width="21.625" style="57" customWidth="1"/>
    <col min="10499" max="10499" width="14.625" style="57" customWidth="1"/>
    <col min="10500" max="10500" width="8.625" style="57" customWidth="1"/>
    <col min="10501" max="10501" width="6.625" style="57" customWidth="1"/>
    <col min="10502" max="10505" width="10.625" style="57" customWidth="1"/>
    <col min="10506" max="10506" width="0" style="57" hidden="1" customWidth="1"/>
    <col min="10507" max="10752" width="9" style="57"/>
    <col min="10753" max="10753" width="2.625" style="57" customWidth="1"/>
    <col min="10754" max="10754" width="21.625" style="57" customWidth="1"/>
    <col min="10755" max="10755" width="14.625" style="57" customWidth="1"/>
    <col min="10756" max="10756" width="8.625" style="57" customWidth="1"/>
    <col min="10757" max="10757" width="6.625" style="57" customWidth="1"/>
    <col min="10758" max="10761" width="10.625" style="57" customWidth="1"/>
    <col min="10762" max="10762" width="0" style="57" hidden="1" customWidth="1"/>
    <col min="10763" max="11008" width="9" style="57"/>
    <col min="11009" max="11009" width="2.625" style="57" customWidth="1"/>
    <col min="11010" max="11010" width="21.625" style="57" customWidth="1"/>
    <col min="11011" max="11011" width="14.625" style="57" customWidth="1"/>
    <col min="11012" max="11012" width="8.625" style="57" customWidth="1"/>
    <col min="11013" max="11013" width="6.625" style="57" customWidth="1"/>
    <col min="11014" max="11017" width="10.625" style="57" customWidth="1"/>
    <col min="11018" max="11018" width="0" style="57" hidden="1" customWidth="1"/>
    <col min="11019" max="11264" width="9" style="57"/>
    <col min="11265" max="11265" width="2.625" style="57" customWidth="1"/>
    <col min="11266" max="11266" width="21.625" style="57" customWidth="1"/>
    <col min="11267" max="11267" width="14.625" style="57" customWidth="1"/>
    <col min="11268" max="11268" width="8.625" style="57" customWidth="1"/>
    <col min="11269" max="11269" width="6.625" style="57" customWidth="1"/>
    <col min="11270" max="11273" width="10.625" style="57" customWidth="1"/>
    <col min="11274" max="11274" width="0" style="57" hidden="1" customWidth="1"/>
    <col min="11275" max="11520" width="9" style="57"/>
    <col min="11521" max="11521" width="2.625" style="57" customWidth="1"/>
    <col min="11522" max="11522" width="21.625" style="57" customWidth="1"/>
    <col min="11523" max="11523" width="14.625" style="57" customWidth="1"/>
    <col min="11524" max="11524" width="8.625" style="57" customWidth="1"/>
    <col min="11525" max="11525" width="6.625" style="57" customWidth="1"/>
    <col min="11526" max="11529" width="10.625" style="57" customWidth="1"/>
    <col min="11530" max="11530" width="0" style="57" hidden="1" customWidth="1"/>
    <col min="11531" max="11776" width="9" style="57"/>
    <col min="11777" max="11777" width="2.625" style="57" customWidth="1"/>
    <col min="11778" max="11778" width="21.625" style="57" customWidth="1"/>
    <col min="11779" max="11779" width="14.625" style="57" customWidth="1"/>
    <col min="11780" max="11780" width="8.625" style="57" customWidth="1"/>
    <col min="11781" max="11781" width="6.625" style="57" customWidth="1"/>
    <col min="11782" max="11785" width="10.625" style="57" customWidth="1"/>
    <col min="11786" max="11786" width="0" style="57" hidden="1" customWidth="1"/>
    <col min="11787" max="12032" width="9" style="57"/>
    <col min="12033" max="12033" width="2.625" style="57" customWidth="1"/>
    <col min="12034" max="12034" width="21.625" style="57" customWidth="1"/>
    <col min="12035" max="12035" width="14.625" style="57" customWidth="1"/>
    <col min="12036" max="12036" width="8.625" style="57" customWidth="1"/>
    <col min="12037" max="12037" width="6.625" style="57" customWidth="1"/>
    <col min="12038" max="12041" width="10.625" style="57" customWidth="1"/>
    <col min="12042" max="12042" width="0" style="57" hidden="1" customWidth="1"/>
    <col min="12043" max="12288" width="9" style="57"/>
    <col min="12289" max="12289" width="2.625" style="57" customWidth="1"/>
    <col min="12290" max="12290" width="21.625" style="57" customWidth="1"/>
    <col min="12291" max="12291" width="14.625" style="57" customWidth="1"/>
    <col min="12292" max="12292" width="8.625" style="57" customWidth="1"/>
    <col min="12293" max="12293" width="6.625" style="57" customWidth="1"/>
    <col min="12294" max="12297" width="10.625" style="57" customWidth="1"/>
    <col min="12298" max="12298" width="0" style="57" hidden="1" customWidth="1"/>
    <col min="12299" max="12544" width="9" style="57"/>
    <col min="12545" max="12545" width="2.625" style="57" customWidth="1"/>
    <col min="12546" max="12546" width="21.625" style="57" customWidth="1"/>
    <col min="12547" max="12547" width="14.625" style="57" customWidth="1"/>
    <col min="12548" max="12548" width="8.625" style="57" customWidth="1"/>
    <col min="12549" max="12549" width="6.625" style="57" customWidth="1"/>
    <col min="12550" max="12553" width="10.625" style="57" customWidth="1"/>
    <col min="12554" max="12554" width="0" style="57" hidden="1" customWidth="1"/>
    <col min="12555" max="12800" width="9" style="57"/>
    <col min="12801" max="12801" width="2.625" style="57" customWidth="1"/>
    <col min="12802" max="12802" width="21.625" style="57" customWidth="1"/>
    <col min="12803" max="12803" width="14.625" style="57" customWidth="1"/>
    <col min="12804" max="12804" width="8.625" style="57" customWidth="1"/>
    <col min="12805" max="12805" width="6.625" style="57" customWidth="1"/>
    <col min="12806" max="12809" width="10.625" style="57" customWidth="1"/>
    <col min="12810" max="12810" width="0" style="57" hidden="1" customWidth="1"/>
    <col min="12811" max="13056" width="9" style="57"/>
    <col min="13057" max="13057" width="2.625" style="57" customWidth="1"/>
    <col min="13058" max="13058" width="21.625" style="57" customWidth="1"/>
    <col min="13059" max="13059" width="14.625" style="57" customWidth="1"/>
    <col min="13060" max="13060" width="8.625" style="57" customWidth="1"/>
    <col min="13061" max="13061" width="6.625" style="57" customWidth="1"/>
    <col min="13062" max="13065" width="10.625" style="57" customWidth="1"/>
    <col min="13066" max="13066" width="0" style="57" hidden="1" customWidth="1"/>
    <col min="13067" max="13312" width="9" style="57"/>
    <col min="13313" max="13313" width="2.625" style="57" customWidth="1"/>
    <col min="13314" max="13314" width="21.625" style="57" customWidth="1"/>
    <col min="13315" max="13315" width="14.625" style="57" customWidth="1"/>
    <col min="13316" max="13316" width="8.625" style="57" customWidth="1"/>
    <col min="13317" max="13317" width="6.625" style="57" customWidth="1"/>
    <col min="13318" max="13321" width="10.625" style="57" customWidth="1"/>
    <col min="13322" max="13322" width="0" style="57" hidden="1" customWidth="1"/>
    <col min="13323" max="13568" width="9" style="57"/>
    <col min="13569" max="13569" width="2.625" style="57" customWidth="1"/>
    <col min="13570" max="13570" width="21.625" style="57" customWidth="1"/>
    <col min="13571" max="13571" width="14.625" style="57" customWidth="1"/>
    <col min="13572" max="13572" width="8.625" style="57" customWidth="1"/>
    <col min="13573" max="13573" width="6.625" style="57" customWidth="1"/>
    <col min="13574" max="13577" width="10.625" style="57" customWidth="1"/>
    <col min="13578" max="13578" width="0" style="57" hidden="1" customWidth="1"/>
    <col min="13579" max="13824" width="9" style="57"/>
    <col min="13825" max="13825" width="2.625" style="57" customWidth="1"/>
    <col min="13826" max="13826" width="21.625" style="57" customWidth="1"/>
    <col min="13827" max="13827" width="14.625" style="57" customWidth="1"/>
    <col min="13828" max="13828" width="8.625" style="57" customWidth="1"/>
    <col min="13829" max="13829" width="6.625" style="57" customWidth="1"/>
    <col min="13830" max="13833" width="10.625" style="57" customWidth="1"/>
    <col min="13834" max="13834" width="0" style="57" hidden="1" customWidth="1"/>
    <col min="13835" max="14080" width="9" style="57"/>
    <col min="14081" max="14081" width="2.625" style="57" customWidth="1"/>
    <col min="14082" max="14082" width="21.625" style="57" customWidth="1"/>
    <col min="14083" max="14083" width="14.625" style="57" customWidth="1"/>
    <col min="14084" max="14084" width="8.625" style="57" customWidth="1"/>
    <col min="14085" max="14085" width="6.625" style="57" customWidth="1"/>
    <col min="14086" max="14089" width="10.625" style="57" customWidth="1"/>
    <col min="14090" max="14090" width="0" style="57" hidden="1" customWidth="1"/>
    <col min="14091" max="14336" width="9" style="57"/>
    <col min="14337" max="14337" width="2.625" style="57" customWidth="1"/>
    <col min="14338" max="14338" width="21.625" style="57" customWidth="1"/>
    <col min="14339" max="14339" width="14.625" style="57" customWidth="1"/>
    <col min="14340" max="14340" width="8.625" style="57" customWidth="1"/>
    <col min="14341" max="14341" width="6.625" style="57" customWidth="1"/>
    <col min="14342" max="14345" width="10.625" style="57" customWidth="1"/>
    <col min="14346" max="14346" width="0" style="57" hidden="1" customWidth="1"/>
    <col min="14347" max="14592" width="9" style="57"/>
    <col min="14593" max="14593" width="2.625" style="57" customWidth="1"/>
    <col min="14594" max="14594" width="21.625" style="57" customWidth="1"/>
    <col min="14595" max="14595" width="14.625" style="57" customWidth="1"/>
    <col min="14596" max="14596" width="8.625" style="57" customWidth="1"/>
    <col min="14597" max="14597" width="6.625" style="57" customWidth="1"/>
    <col min="14598" max="14601" width="10.625" style="57" customWidth="1"/>
    <col min="14602" max="14602" width="0" style="57" hidden="1" customWidth="1"/>
    <col min="14603" max="14848" width="9" style="57"/>
    <col min="14849" max="14849" width="2.625" style="57" customWidth="1"/>
    <col min="14850" max="14850" width="21.625" style="57" customWidth="1"/>
    <col min="14851" max="14851" width="14.625" style="57" customWidth="1"/>
    <col min="14852" max="14852" width="8.625" style="57" customWidth="1"/>
    <col min="14853" max="14853" width="6.625" style="57" customWidth="1"/>
    <col min="14854" max="14857" width="10.625" style="57" customWidth="1"/>
    <col min="14858" max="14858" width="0" style="57" hidden="1" customWidth="1"/>
    <col min="14859" max="15104" width="9" style="57"/>
    <col min="15105" max="15105" width="2.625" style="57" customWidth="1"/>
    <col min="15106" max="15106" width="21.625" style="57" customWidth="1"/>
    <col min="15107" max="15107" width="14.625" style="57" customWidth="1"/>
    <col min="15108" max="15108" width="8.625" style="57" customWidth="1"/>
    <col min="15109" max="15109" width="6.625" style="57" customWidth="1"/>
    <col min="15110" max="15113" width="10.625" style="57" customWidth="1"/>
    <col min="15114" max="15114" width="0" style="57" hidden="1" customWidth="1"/>
    <col min="15115" max="15360" width="9" style="57"/>
    <col min="15361" max="15361" width="2.625" style="57" customWidth="1"/>
    <col min="15362" max="15362" width="21.625" style="57" customWidth="1"/>
    <col min="15363" max="15363" width="14.625" style="57" customWidth="1"/>
    <col min="15364" max="15364" width="8.625" style="57" customWidth="1"/>
    <col min="15365" max="15365" width="6.625" style="57" customWidth="1"/>
    <col min="15366" max="15369" width="10.625" style="57" customWidth="1"/>
    <col min="15370" max="15370" width="0" style="57" hidden="1" customWidth="1"/>
    <col min="15371" max="15616" width="9" style="57"/>
    <col min="15617" max="15617" width="2.625" style="57" customWidth="1"/>
    <col min="15618" max="15618" width="21.625" style="57" customWidth="1"/>
    <col min="15619" max="15619" width="14.625" style="57" customWidth="1"/>
    <col min="15620" max="15620" width="8.625" style="57" customWidth="1"/>
    <col min="15621" max="15621" width="6.625" style="57" customWidth="1"/>
    <col min="15622" max="15625" width="10.625" style="57" customWidth="1"/>
    <col min="15626" max="15626" width="0" style="57" hidden="1" customWidth="1"/>
    <col min="15627" max="15872" width="9" style="57"/>
    <col min="15873" max="15873" width="2.625" style="57" customWidth="1"/>
    <col min="15874" max="15874" width="21.625" style="57" customWidth="1"/>
    <col min="15875" max="15875" width="14.625" style="57" customWidth="1"/>
    <col min="15876" max="15876" width="8.625" style="57" customWidth="1"/>
    <col min="15877" max="15877" width="6.625" style="57" customWidth="1"/>
    <col min="15878" max="15881" width="10.625" style="57" customWidth="1"/>
    <col min="15882" max="15882" width="0" style="57" hidden="1" customWidth="1"/>
    <col min="15883" max="16128" width="9" style="57"/>
    <col min="16129" max="16129" width="2.625" style="57" customWidth="1"/>
    <col min="16130" max="16130" width="21.625" style="57" customWidth="1"/>
    <col min="16131" max="16131" width="14.625" style="57" customWidth="1"/>
    <col min="16132" max="16132" width="8.625" style="57" customWidth="1"/>
    <col min="16133" max="16133" width="6.625" style="57" customWidth="1"/>
    <col min="16134" max="16137" width="10.625" style="57" customWidth="1"/>
    <col min="16138" max="16138" width="0" style="57" hidden="1" customWidth="1"/>
    <col min="16139" max="16384" width="9" style="57"/>
  </cols>
  <sheetData>
    <row r="1" spans="2:14">
      <c r="B1" s="57" t="s">
        <v>76</v>
      </c>
      <c r="F1" s="58" t="s">
        <v>77</v>
      </c>
      <c r="G1" s="59" t="e">
        <f>#REF!</f>
        <v>#REF!</v>
      </c>
      <c r="H1" s="59"/>
      <c r="I1" s="59"/>
    </row>
    <row r="2" spans="2:14" ht="5.85" customHeight="1" thickBot="1"/>
    <row r="3" spans="2:14">
      <c r="B3" s="787" t="s">
        <v>78</v>
      </c>
      <c r="C3" s="61"/>
      <c r="D3" s="790" t="s">
        <v>79</v>
      </c>
      <c r="E3" s="790" t="s">
        <v>80</v>
      </c>
      <c r="F3" s="62" t="s">
        <v>81</v>
      </c>
      <c r="G3" s="62"/>
      <c r="H3" s="62" t="s">
        <v>82</v>
      </c>
      <c r="I3" s="63"/>
      <c r="L3" s="64" t="s">
        <v>83</v>
      </c>
      <c r="M3" s="65" t="s">
        <v>84</v>
      </c>
      <c r="N3" s="66" t="s">
        <v>73</v>
      </c>
    </row>
    <row r="4" spans="2:14">
      <c r="B4" s="788"/>
      <c r="C4" s="67" t="s">
        <v>85</v>
      </c>
      <c r="D4" s="791"/>
      <c r="E4" s="791"/>
      <c r="F4" s="68" t="s">
        <v>72</v>
      </c>
      <c r="G4" s="68" t="s">
        <v>86</v>
      </c>
      <c r="H4" s="68" t="s">
        <v>87</v>
      </c>
      <c r="I4" s="69" t="s">
        <v>73</v>
      </c>
      <c r="L4" s="70"/>
      <c r="M4" s="71" t="s">
        <v>88</v>
      </c>
      <c r="N4" s="72" t="s">
        <v>88</v>
      </c>
    </row>
    <row r="5" spans="2:14" ht="14.25" thickBot="1">
      <c r="B5" s="789"/>
      <c r="C5" s="73"/>
      <c r="D5" s="74" t="s">
        <v>89</v>
      </c>
      <c r="E5" s="74" t="s">
        <v>90</v>
      </c>
      <c r="F5" s="75" t="s">
        <v>91</v>
      </c>
      <c r="G5" s="75" t="s">
        <v>91</v>
      </c>
      <c r="H5" s="75" t="s">
        <v>91</v>
      </c>
      <c r="I5" s="76" t="s">
        <v>91</v>
      </c>
      <c r="L5" s="77"/>
      <c r="M5" s="78"/>
      <c r="N5" s="79"/>
    </row>
    <row r="6" spans="2:14">
      <c r="B6" s="80" t="s">
        <v>92</v>
      </c>
      <c r="C6" s="81" t="s">
        <v>93</v>
      </c>
      <c r="D6" s="82">
        <f>1.94/3.66</f>
        <v>0.53005464480874309</v>
      </c>
      <c r="E6" s="83"/>
      <c r="F6" s="84"/>
      <c r="G6" s="84"/>
      <c r="H6" s="85">
        <f>D6*E6</f>
        <v>0</v>
      </c>
      <c r="I6" s="86"/>
      <c r="L6" s="87">
        <v>2.8637585000000008E-4</v>
      </c>
      <c r="M6" s="88">
        <f>E6*L6</f>
        <v>0</v>
      </c>
      <c r="N6" s="89"/>
    </row>
    <row r="7" spans="2:14">
      <c r="B7" s="90" t="s">
        <v>94</v>
      </c>
      <c r="C7" s="91" t="s">
        <v>95</v>
      </c>
      <c r="D7" s="92">
        <f>2.621/3.66</f>
        <v>0.71612021857923491</v>
      </c>
      <c r="E7" s="93"/>
      <c r="F7" s="94"/>
      <c r="G7" s="94"/>
      <c r="H7" s="95">
        <f t="shared" ref="H7:H41" si="0">D7*E7</f>
        <v>0</v>
      </c>
      <c r="I7" s="96"/>
      <c r="L7" s="97">
        <v>5.0645059999999997E-4</v>
      </c>
      <c r="M7" s="98">
        <f t="shared" ref="M7:M10" si="1">E7*L7</f>
        <v>0</v>
      </c>
      <c r="N7" s="99"/>
    </row>
    <row r="8" spans="2:14">
      <c r="B8" s="90"/>
      <c r="C8" s="91" t="s">
        <v>96</v>
      </c>
      <c r="D8" s="92">
        <f>3.843/3.66</f>
        <v>1.05</v>
      </c>
      <c r="E8" s="93"/>
      <c r="F8" s="94"/>
      <c r="G8" s="94"/>
      <c r="H8" s="95">
        <f t="shared" si="0"/>
        <v>0</v>
      </c>
      <c r="I8" s="96"/>
      <c r="L8" s="97">
        <v>7.9382340000000006E-4</v>
      </c>
      <c r="M8" s="98">
        <f t="shared" si="1"/>
        <v>0</v>
      </c>
      <c r="N8" s="99"/>
    </row>
    <row r="9" spans="2:14">
      <c r="B9" s="90"/>
      <c r="C9" s="91" t="s">
        <v>97</v>
      </c>
      <c r="D9" s="92">
        <f>4.648/3.66</f>
        <v>1.2699453551912567</v>
      </c>
      <c r="E9" s="93"/>
      <c r="F9" s="94"/>
      <c r="G9" s="94"/>
      <c r="H9" s="95">
        <f t="shared" si="0"/>
        <v>0</v>
      </c>
      <c r="I9" s="96"/>
      <c r="L9" s="97">
        <v>1.1395138500000001E-3</v>
      </c>
      <c r="M9" s="98">
        <f t="shared" si="1"/>
        <v>0</v>
      </c>
      <c r="N9" s="99"/>
    </row>
    <row r="10" spans="2:14">
      <c r="B10" s="90"/>
      <c r="C10" s="91" t="s">
        <v>98</v>
      </c>
      <c r="D10" s="92">
        <f>6.259/3.66</f>
        <v>1.7101092896174863</v>
      </c>
      <c r="E10" s="93"/>
      <c r="F10" s="94"/>
      <c r="G10" s="94"/>
      <c r="H10" s="95">
        <f t="shared" si="0"/>
        <v>0</v>
      </c>
      <c r="I10" s="96"/>
      <c r="L10" s="97">
        <v>2.0258023999999999E-3</v>
      </c>
      <c r="M10" s="98">
        <f t="shared" si="1"/>
        <v>0</v>
      </c>
      <c r="N10" s="99"/>
    </row>
    <row r="11" spans="2:14">
      <c r="B11" s="90"/>
      <c r="C11" s="91" t="s">
        <v>99</v>
      </c>
      <c r="D11" s="92">
        <f>8.93/3.66</f>
        <v>2.4398907103825134</v>
      </c>
      <c r="E11" s="93"/>
      <c r="F11" s="94"/>
      <c r="G11" s="94"/>
      <c r="H11" s="95">
        <f t="shared" si="0"/>
        <v>0</v>
      </c>
      <c r="I11" s="96"/>
      <c r="L11" s="97">
        <v>3.1653162500000004E-3</v>
      </c>
      <c r="M11" s="98"/>
      <c r="N11" s="99"/>
    </row>
    <row r="12" spans="2:14">
      <c r="B12" s="100"/>
      <c r="C12" s="101" t="s">
        <v>100</v>
      </c>
      <c r="D12" s="102">
        <f>12.078/3.66</f>
        <v>3.3</v>
      </c>
      <c r="E12" s="103"/>
      <c r="F12" s="104"/>
      <c r="G12" s="104"/>
      <c r="H12" s="105">
        <f t="shared" si="0"/>
        <v>0</v>
      </c>
      <c r="I12" s="106"/>
      <c r="L12" s="97">
        <v>4.5580554000000002E-3</v>
      </c>
      <c r="M12" s="98"/>
      <c r="N12" s="99"/>
    </row>
    <row r="13" spans="2:14">
      <c r="B13" s="107" t="s">
        <v>101</v>
      </c>
      <c r="C13" s="108" t="s">
        <v>93</v>
      </c>
      <c r="D13" s="109">
        <f>2.525/3.66</f>
        <v>0.68989071038251359</v>
      </c>
      <c r="E13" s="110"/>
      <c r="F13" s="111"/>
      <c r="G13" s="111"/>
      <c r="H13" s="112">
        <f t="shared" si="0"/>
        <v>0</v>
      </c>
      <c r="I13" s="113"/>
      <c r="L13" s="97"/>
      <c r="M13" s="98"/>
      <c r="N13" s="99"/>
    </row>
    <row r="14" spans="2:14">
      <c r="B14" s="90" t="s">
        <v>102</v>
      </c>
      <c r="C14" s="114" t="s">
        <v>95</v>
      </c>
      <c r="D14" s="115">
        <f>3.437/3.66</f>
        <v>0.93907103825136606</v>
      </c>
      <c r="E14" s="116"/>
      <c r="F14" s="117"/>
      <c r="G14" s="117"/>
      <c r="H14" s="118">
        <f t="shared" si="0"/>
        <v>0</v>
      </c>
      <c r="I14" s="119"/>
      <c r="L14" s="97"/>
      <c r="M14" s="98"/>
      <c r="N14" s="99"/>
    </row>
    <row r="15" spans="2:14">
      <c r="B15" s="90"/>
      <c r="C15" s="114" t="s">
        <v>96</v>
      </c>
      <c r="D15" s="115">
        <f>4.355/3.66</f>
        <v>1.1898907103825138</v>
      </c>
      <c r="E15" s="116"/>
      <c r="F15" s="117"/>
      <c r="G15" s="117"/>
      <c r="H15" s="118">
        <f t="shared" si="0"/>
        <v>0</v>
      </c>
      <c r="I15" s="119"/>
      <c r="L15" s="97"/>
      <c r="M15" s="98"/>
      <c r="N15" s="99"/>
    </row>
    <row r="16" spans="2:14">
      <c r="B16" s="90"/>
      <c r="C16" s="114" t="s">
        <v>97</v>
      </c>
      <c r="D16" s="115">
        <f>5.27/3.66</f>
        <v>1.4398907103825136</v>
      </c>
      <c r="E16" s="116"/>
      <c r="F16" s="117"/>
      <c r="G16" s="117"/>
      <c r="H16" s="118">
        <f t="shared" si="0"/>
        <v>0</v>
      </c>
      <c r="I16" s="119"/>
      <c r="L16" s="97"/>
      <c r="M16" s="98"/>
      <c r="N16" s="99"/>
    </row>
    <row r="17" spans="2:14">
      <c r="B17" s="90"/>
      <c r="C17" s="114" t="s">
        <v>98</v>
      </c>
      <c r="D17" s="115">
        <f>7.1/3.66</f>
        <v>1.9398907103825136</v>
      </c>
      <c r="E17" s="116"/>
      <c r="F17" s="117"/>
      <c r="G17" s="117"/>
      <c r="H17" s="118">
        <f t="shared" si="0"/>
        <v>0</v>
      </c>
      <c r="I17" s="119"/>
      <c r="L17" s="97"/>
      <c r="M17" s="98"/>
      <c r="N17" s="99"/>
    </row>
    <row r="18" spans="2:14">
      <c r="B18" s="90"/>
      <c r="C18" s="114" t="s">
        <v>99</v>
      </c>
      <c r="D18" s="115">
        <f>11.09/3.66</f>
        <v>3.0300546448087431</v>
      </c>
      <c r="E18" s="116"/>
      <c r="F18" s="117"/>
      <c r="G18" s="117"/>
      <c r="H18" s="118">
        <f t="shared" si="0"/>
        <v>0</v>
      </c>
      <c r="I18" s="119"/>
      <c r="L18" s="97"/>
      <c r="M18" s="98"/>
      <c r="N18" s="99"/>
    </row>
    <row r="19" spans="2:14">
      <c r="B19" s="120"/>
      <c r="C19" s="121" t="s">
        <v>100</v>
      </c>
      <c r="D19" s="122">
        <f>13.396/3.66</f>
        <v>3.6601092896174863</v>
      </c>
      <c r="E19" s="123"/>
      <c r="F19" s="124"/>
      <c r="G19" s="124"/>
      <c r="H19" s="125">
        <f t="shared" si="0"/>
        <v>0</v>
      </c>
      <c r="I19" s="126"/>
      <c r="L19" s="97"/>
      <c r="M19" s="98"/>
      <c r="N19" s="99"/>
    </row>
    <row r="20" spans="2:14">
      <c r="B20" s="107" t="s">
        <v>103</v>
      </c>
      <c r="C20" s="127" t="s">
        <v>104</v>
      </c>
      <c r="D20" s="128">
        <f>3.88/3.66</f>
        <v>1.0601092896174862</v>
      </c>
      <c r="E20" s="129"/>
      <c r="F20" s="130"/>
      <c r="G20" s="130"/>
      <c r="H20" s="131">
        <f t="shared" si="0"/>
        <v>0</v>
      </c>
      <c r="I20" s="132"/>
      <c r="L20" s="97">
        <v>3.4618500000000005E-4</v>
      </c>
      <c r="M20" s="98"/>
      <c r="N20" s="99"/>
    </row>
    <row r="21" spans="2:14">
      <c r="B21" s="90" t="s">
        <v>105</v>
      </c>
      <c r="C21" s="91" t="s">
        <v>106</v>
      </c>
      <c r="D21" s="92">
        <f>5.014/3.66</f>
        <v>1.3699453551912568</v>
      </c>
      <c r="E21" s="93"/>
      <c r="F21" s="94"/>
      <c r="G21" s="94"/>
      <c r="H21" s="95">
        <f t="shared" si="0"/>
        <v>0</v>
      </c>
      <c r="I21" s="96"/>
      <c r="L21" s="97">
        <v>5.5126624999999999E-4</v>
      </c>
      <c r="M21" s="98"/>
      <c r="N21" s="99"/>
    </row>
    <row r="22" spans="2:14">
      <c r="B22" s="90"/>
      <c r="C22" s="91" t="s">
        <v>107</v>
      </c>
      <c r="D22" s="92">
        <f>6.954/3.66</f>
        <v>1.9</v>
      </c>
      <c r="E22" s="93"/>
      <c r="F22" s="94"/>
      <c r="G22" s="94"/>
      <c r="H22" s="95">
        <f t="shared" si="0"/>
        <v>0</v>
      </c>
      <c r="I22" s="96"/>
      <c r="L22" s="97">
        <v>8.7047864999999984E-4</v>
      </c>
      <c r="M22" s="98"/>
      <c r="N22" s="99"/>
    </row>
    <row r="23" spans="2:14">
      <c r="B23" s="90"/>
      <c r="C23" s="91" t="s">
        <v>108</v>
      </c>
      <c r="D23" s="92">
        <f>8.894/3.66</f>
        <v>2.430054644808743</v>
      </c>
      <c r="E23" s="93"/>
      <c r="F23" s="94"/>
      <c r="G23" s="94"/>
      <c r="H23" s="95">
        <f t="shared" si="0"/>
        <v>0</v>
      </c>
      <c r="I23" s="96"/>
      <c r="L23" s="97">
        <v>1.3781538499999999E-3</v>
      </c>
      <c r="M23" s="98"/>
      <c r="N23" s="99"/>
    </row>
    <row r="24" spans="2:14">
      <c r="B24" s="90"/>
      <c r="C24" s="91" t="s">
        <v>109</v>
      </c>
      <c r="D24" s="92">
        <f>10.211/3.66</f>
        <v>2.7898907103825135</v>
      </c>
      <c r="E24" s="93"/>
      <c r="F24" s="94"/>
      <c r="G24" s="94"/>
      <c r="H24" s="95">
        <f t="shared" si="0"/>
        <v>0</v>
      </c>
      <c r="I24" s="96"/>
      <c r="L24" s="97">
        <v>1.7935993999999996E-3</v>
      </c>
      <c r="M24" s="98"/>
      <c r="N24" s="99"/>
    </row>
    <row r="25" spans="2:14">
      <c r="B25" s="90"/>
      <c r="C25" s="91" t="s">
        <v>110</v>
      </c>
      <c r="D25" s="92">
        <f>14.347/3.66</f>
        <v>3.9199453551912566</v>
      </c>
      <c r="E25" s="93"/>
      <c r="F25" s="94"/>
      <c r="G25" s="94"/>
      <c r="H25" s="95">
        <f t="shared" si="0"/>
        <v>0</v>
      </c>
      <c r="I25" s="96"/>
      <c r="L25" s="97">
        <v>2.7884456000000003E-3</v>
      </c>
      <c r="M25" s="98">
        <f t="shared" ref="M25:M41" si="2">E25*L25</f>
        <v>0</v>
      </c>
      <c r="N25" s="99"/>
    </row>
    <row r="26" spans="2:14">
      <c r="B26" s="90"/>
      <c r="C26" s="91" t="s">
        <v>111</v>
      </c>
      <c r="D26" s="92">
        <f>18.3/3.66</f>
        <v>5</v>
      </c>
      <c r="E26" s="93"/>
      <c r="F26" s="94"/>
      <c r="G26" s="94"/>
      <c r="H26" s="95">
        <f t="shared" si="0"/>
        <v>0</v>
      </c>
      <c r="I26" s="96"/>
      <c r="L26" s="97">
        <v>4.4392064000000004E-3</v>
      </c>
      <c r="M26" s="98"/>
      <c r="N26" s="99"/>
    </row>
    <row r="27" spans="2:14">
      <c r="B27" s="90"/>
      <c r="C27" s="91" t="s">
        <v>112</v>
      </c>
      <c r="D27" s="92">
        <f>21.521/3.66</f>
        <v>5.8800546448087427</v>
      </c>
      <c r="E27" s="93"/>
      <c r="F27" s="94"/>
      <c r="G27" s="94"/>
      <c r="H27" s="95">
        <f t="shared" si="0"/>
        <v>0</v>
      </c>
      <c r="I27" s="96"/>
      <c r="L27" s="97">
        <v>6.0652318500000009E-3</v>
      </c>
      <c r="M27" s="98"/>
      <c r="N27" s="99"/>
    </row>
    <row r="28" spans="2:14">
      <c r="B28" s="90"/>
      <c r="C28" s="91" t="s">
        <v>113</v>
      </c>
      <c r="D28" s="92">
        <f>30.707/3.66</f>
        <v>8.3898907103825131</v>
      </c>
      <c r="E28" s="93"/>
      <c r="F28" s="94"/>
      <c r="G28" s="94"/>
      <c r="H28" s="95">
        <f t="shared" si="0"/>
        <v>0</v>
      </c>
      <c r="I28" s="96"/>
      <c r="L28" s="97">
        <v>7.9602846499999998E-3</v>
      </c>
      <c r="M28" s="98">
        <f t="shared" si="2"/>
        <v>0</v>
      </c>
      <c r="N28" s="99"/>
    </row>
    <row r="29" spans="2:14">
      <c r="B29" s="100"/>
      <c r="C29" s="101" t="s">
        <v>114</v>
      </c>
      <c r="D29" s="102">
        <f>34.697/3.66</f>
        <v>9.4800546448087442</v>
      </c>
      <c r="E29" s="103"/>
      <c r="F29" s="104"/>
      <c r="G29" s="104"/>
      <c r="H29" s="105">
        <f t="shared" si="0"/>
        <v>0</v>
      </c>
      <c r="I29" s="106"/>
      <c r="L29" s="97">
        <v>1.00947546E-2</v>
      </c>
      <c r="M29" s="98"/>
      <c r="N29" s="99"/>
    </row>
    <row r="30" spans="2:14">
      <c r="B30" s="133" t="s">
        <v>115</v>
      </c>
      <c r="C30" s="127" t="s">
        <v>116</v>
      </c>
      <c r="D30" s="128">
        <v>0.21</v>
      </c>
      <c r="E30" s="129"/>
      <c r="F30" s="130"/>
      <c r="G30" s="130"/>
      <c r="H30" s="131">
        <f t="shared" si="0"/>
        <v>0</v>
      </c>
      <c r="I30" s="132"/>
      <c r="L30" s="97">
        <v>1.3885865000000004E-4</v>
      </c>
      <c r="M30" s="98"/>
      <c r="N30" s="99"/>
    </row>
    <row r="31" spans="2:14">
      <c r="B31" s="134" t="s">
        <v>117</v>
      </c>
      <c r="C31" s="91" t="s">
        <v>118</v>
      </c>
      <c r="D31" s="92">
        <v>0.28999999999999998</v>
      </c>
      <c r="E31" s="93"/>
      <c r="F31" s="94"/>
      <c r="G31" s="94"/>
      <c r="H31" s="95">
        <f t="shared" si="0"/>
        <v>0</v>
      </c>
      <c r="I31" s="96"/>
      <c r="L31" s="97">
        <v>2.0347985000000003E-4</v>
      </c>
      <c r="M31" s="98"/>
      <c r="N31" s="99"/>
    </row>
    <row r="32" spans="2:14">
      <c r="B32" s="135"/>
      <c r="C32" s="91" t="s">
        <v>119</v>
      </c>
      <c r="D32" s="92">
        <v>0.32</v>
      </c>
      <c r="E32" s="93"/>
      <c r="F32" s="94"/>
      <c r="G32" s="94"/>
      <c r="H32" s="95">
        <f t="shared" si="0"/>
        <v>0</v>
      </c>
      <c r="I32" s="96"/>
      <c r="L32" s="97">
        <v>2.8338499999999998E-4</v>
      </c>
      <c r="M32" s="98"/>
      <c r="N32" s="99"/>
    </row>
    <row r="33" spans="2:14">
      <c r="B33" s="135"/>
      <c r="C33" s="91" t="s">
        <v>120</v>
      </c>
      <c r="D33" s="92">
        <v>0.44</v>
      </c>
      <c r="E33" s="93"/>
      <c r="F33" s="94"/>
      <c r="G33" s="94"/>
      <c r="H33" s="95">
        <f t="shared" si="0"/>
        <v>0</v>
      </c>
      <c r="I33" s="96"/>
      <c r="L33" s="97">
        <v>3.6286624999999997E-4</v>
      </c>
      <c r="M33" s="98"/>
      <c r="N33" s="99"/>
    </row>
    <row r="34" spans="2:14">
      <c r="B34" s="135"/>
      <c r="C34" s="91" t="s">
        <v>121</v>
      </c>
      <c r="D34" s="92">
        <v>0.65</v>
      </c>
      <c r="E34" s="93"/>
      <c r="F34" s="94"/>
      <c r="G34" s="94"/>
      <c r="H34" s="95">
        <f t="shared" si="0"/>
        <v>0</v>
      </c>
      <c r="I34" s="96"/>
      <c r="L34" s="97">
        <v>6.5111040000000002E-4</v>
      </c>
      <c r="M34" s="98"/>
      <c r="N34" s="99"/>
    </row>
    <row r="35" spans="2:14">
      <c r="B35" s="135"/>
      <c r="C35" s="91" t="s">
        <v>122</v>
      </c>
      <c r="D35" s="92">
        <v>0.74</v>
      </c>
      <c r="E35" s="93"/>
      <c r="F35" s="94"/>
      <c r="G35" s="94"/>
      <c r="H35" s="95">
        <f t="shared" si="0"/>
        <v>0</v>
      </c>
      <c r="I35" s="96"/>
      <c r="L35" s="97">
        <v>9.561378500000001E-4</v>
      </c>
      <c r="M35" s="98"/>
      <c r="N35" s="99"/>
    </row>
    <row r="36" spans="2:14">
      <c r="B36" s="135"/>
      <c r="C36" s="91" t="s">
        <v>123</v>
      </c>
      <c r="D36" s="92">
        <v>0.97</v>
      </c>
      <c r="E36" s="93"/>
      <c r="F36" s="94"/>
      <c r="G36" s="94"/>
      <c r="H36" s="95">
        <f t="shared" si="0"/>
        <v>0</v>
      </c>
      <c r="I36" s="96"/>
      <c r="L36" s="97">
        <v>1.44472185E-3</v>
      </c>
      <c r="M36" s="98"/>
      <c r="N36" s="99"/>
    </row>
    <row r="37" spans="2:14">
      <c r="B37" s="135"/>
      <c r="C37" s="91" t="s">
        <v>124</v>
      </c>
      <c r="D37" s="92">
        <v>1.2</v>
      </c>
      <c r="E37" s="93"/>
      <c r="F37" s="94"/>
      <c r="G37" s="94"/>
      <c r="H37" s="95">
        <f t="shared" si="0"/>
        <v>0</v>
      </c>
      <c r="I37" s="96"/>
      <c r="L37" s="97">
        <v>2.36599785E-3</v>
      </c>
      <c r="M37" s="98"/>
      <c r="N37" s="99"/>
    </row>
    <row r="38" spans="2:14">
      <c r="B38" s="135"/>
      <c r="C38" s="91" t="s">
        <v>99</v>
      </c>
      <c r="D38" s="92">
        <v>1.73</v>
      </c>
      <c r="E38" s="93"/>
      <c r="F38" s="94"/>
      <c r="G38" s="94"/>
      <c r="H38" s="95">
        <f t="shared" si="0"/>
        <v>0</v>
      </c>
      <c r="I38" s="96"/>
      <c r="L38" s="97">
        <v>3.7482258499999996E-3</v>
      </c>
      <c r="M38" s="98">
        <f t="shared" si="2"/>
        <v>0</v>
      </c>
      <c r="N38" s="99"/>
    </row>
    <row r="39" spans="2:14">
      <c r="B39" s="135"/>
      <c r="C39" s="91" t="s">
        <v>125</v>
      </c>
      <c r="D39" s="92">
        <v>2.04</v>
      </c>
      <c r="E39" s="93"/>
      <c r="F39" s="94"/>
      <c r="G39" s="94"/>
      <c r="H39" s="95">
        <f t="shared" si="0"/>
        <v>0</v>
      </c>
      <c r="I39" s="96"/>
      <c r="L39" s="97">
        <v>5.394841850000001E-3</v>
      </c>
      <c r="M39" s="98"/>
      <c r="N39" s="99"/>
    </row>
    <row r="40" spans="2:14">
      <c r="B40" s="135"/>
      <c r="C40" s="91" t="s">
        <v>126</v>
      </c>
      <c r="D40" s="92">
        <v>2.21</v>
      </c>
      <c r="E40" s="93"/>
      <c r="F40" s="94"/>
      <c r="G40" s="94"/>
      <c r="H40" s="95">
        <f t="shared" si="0"/>
        <v>0</v>
      </c>
      <c r="I40" s="96"/>
      <c r="L40" s="97">
        <v>6.0928638499999997E-3</v>
      </c>
      <c r="M40" s="98">
        <f t="shared" si="2"/>
        <v>0</v>
      </c>
      <c r="N40" s="99"/>
    </row>
    <row r="41" spans="2:14" ht="14.25" thickBot="1">
      <c r="B41" s="136"/>
      <c r="C41" s="137" t="s">
        <v>127</v>
      </c>
      <c r="D41" s="138">
        <v>3</v>
      </c>
      <c r="E41" s="139"/>
      <c r="F41" s="140"/>
      <c r="G41" s="140"/>
      <c r="H41" s="141">
        <f t="shared" si="0"/>
        <v>0</v>
      </c>
      <c r="I41" s="142"/>
      <c r="L41" s="97">
        <v>9.0379326500000003E-3</v>
      </c>
      <c r="M41" s="98">
        <f t="shared" si="2"/>
        <v>0</v>
      </c>
      <c r="N41" s="99"/>
    </row>
    <row r="42" spans="2:14">
      <c r="B42" s="787" t="s">
        <v>78</v>
      </c>
      <c r="C42" s="61"/>
      <c r="D42" s="790" t="s">
        <v>79</v>
      </c>
      <c r="E42" s="790" t="s">
        <v>80</v>
      </c>
      <c r="F42" s="62" t="s">
        <v>81</v>
      </c>
      <c r="G42" s="62"/>
      <c r="H42" s="62" t="s">
        <v>82</v>
      </c>
      <c r="I42" s="63"/>
      <c r="L42" s="97"/>
      <c r="M42" s="98"/>
      <c r="N42" s="99"/>
    </row>
    <row r="43" spans="2:14">
      <c r="B43" s="788"/>
      <c r="C43" s="67" t="s">
        <v>85</v>
      </c>
      <c r="D43" s="791"/>
      <c r="E43" s="791"/>
      <c r="F43" s="68" t="s">
        <v>72</v>
      </c>
      <c r="G43" s="68" t="s">
        <v>86</v>
      </c>
      <c r="H43" s="68" t="s">
        <v>87</v>
      </c>
      <c r="I43" s="69" t="s">
        <v>73</v>
      </c>
      <c r="L43" s="97"/>
      <c r="M43" s="98"/>
      <c r="N43" s="99"/>
    </row>
    <row r="44" spans="2:14" ht="14.25" thickBot="1">
      <c r="B44" s="789"/>
      <c r="C44" s="73"/>
      <c r="D44" s="74" t="s">
        <v>89</v>
      </c>
      <c r="E44" s="74" t="s">
        <v>90</v>
      </c>
      <c r="F44" s="75" t="s">
        <v>91</v>
      </c>
      <c r="G44" s="75" t="s">
        <v>91</v>
      </c>
      <c r="H44" s="75" t="s">
        <v>91</v>
      </c>
      <c r="I44" s="76" t="s">
        <v>91</v>
      </c>
      <c r="L44" s="97"/>
      <c r="M44" s="98"/>
      <c r="N44" s="99"/>
    </row>
    <row r="45" spans="2:14">
      <c r="B45" s="133" t="s">
        <v>128</v>
      </c>
      <c r="C45" s="127" t="s">
        <v>129</v>
      </c>
      <c r="D45" s="128">
        <f>564/4/1000</f>
        <v>0.14099999999999999</v>
      </c>
      <c r="E45" s="129"/>
      <c r="F45" s="130"/>
      <c r="G45" s="130"/>
      <c r="H45" s="130"/>
      <c r="I45" s="143">
        <f t="shared" ref="I45:I66" si="3">D45*E45</f>
        <v>0</v>
      </c>
      <c r="L45" s="97">
        <v>2.5433999999999998E-4</v>
      </c>
      <c r="M45" s="98"/>
      <c r="N45" s="99"/>
    </row>
    <row r="46" spans="2:14">
      <c r="B46" s="134" t="s">
        <v>130</v>
      </c>
      <c r="C46" s="91" t="s">
        <v>104</v>
      </c>
      <c r="D46" s="92">
        <f>704/4/1000</f>
        <v>0.17599999999999999</v>
      </c>
      <c r="E46" s="93"/>
      <c r="F46" s="94"/>
      <c r="G46" s="94"/>
      <c r="H46" s="94"/>
      <c r="I46" s="144">
        <f t="shared" si="3"/>
        <v>0</v>
      </c>
      <c r="L46" s="97">
        <v>3.7994E-4</v>
      </c>
      <c r="M46" s="98"/>
      <c r="N46" s="99">
        <f t="shared" ref="N46:N48" si="4">E46*L46</f>
        <v>0</v>
      </c>
    </row>
    <row r="47" spans="2:14">
      <c r="B47" s="134"/>
      <c r="C47" s="91" t="s">
        <v>106</v>
      </c>
      <c r="D47" s="92">
        <f>844/4/1000</f>
        <v>0.21099999999999999</v>
      </c>
      <c r="E47" s="93"/>
      <c r="F47" s="94"/>
      <c r="G47" s="94"/>
      <c r="H47" s="94"/>
      <c r="I47" s="144">
        <f t="shared" si="3"/>
        <v>0</v>
      </c>
      <c r="L47" s="97">
        <v>5.3065999999999996E-4</v>
      </c>
      <c r="M47" s="98"/>
      <c r="N47" s="99">
        <f t="shared" si="4"/>
        <v>0</v>
      </c>
    </row>
    <row r="48" spans="2:14">
      <c r="B48" s="134"/>
      <c r="C48" s="91" t="s">
        <v>107</v>
      </c>
      <c r="D48" s="92">
        <f>1636/4/1000</f>
        <v>0.40899999999999997</v>
      </c>
      <c r="E48" s="93"/>
      <c r="F48" s="94"/>
      <c r="G48" s="94"/>
      <c r="H48" s="94"/>
      <c r="I48" s="144">
        <f t="shared" si="3"/>
        <v>0</v>
      </c>
      <c r="L48" s="97">
        <v>9.0746000000000012E-4</v>
      </c>
      <c r="M48" s="98"/>
      <c r="N48" s="99">
        <f t="shared" si="4"/>
        <v>0</v>
      </c>
    </row>
    <row r="49" spans="2:14">
      <c r="B49" s="134"/>
      <c r="C49" s="91" t="s">
        <v>108</v>
      </c>
      <c r="D49" s="92">
        <f>2372/4/1000</f>
        <v>0.59299999999999997</v>
      </c>
      <c r="E49" s="93"/>
      <c r="F49" s="94"/>
      <c r="G49" s="94"/>
      <c r="H49" s="94"/>
      <c r="I49" s="144">
        <f t="shared" si="3"/>
        <v>0</v>
      </c>
      <c r="L49" s="97">
        <v>1.3847400000000002E-3</v>
      </c>
      <c r="M49" s="98"/>
      <c r="N49" s="99"/>
    </row>
    <row r="50" spans="2:14">
      <c r="B50" s="134"/>
      <c r="C50" s="91" t="s">
        <v>109</v>
      </c>
      <c r="D50" s="92">
        <f>3096/4/1000</f>
        <v>0.77400000000000002</v>
      </c>
      <c r="E50" s="93"/>
      <c r="F50" s="94"/>
      <c r="G50" s="94"/>
      <c r="H50" s="94"/>
      <c r="I50" s="144">
        <f t="shared" si="3"/>
        <v>0</v>
      </c>
      <c r="L50" s="97">
        <v>1.80864E-3</v>
      </c>
      <c r="M50" s="98"/>
      <c r="N50" s="99"/>
    </row>
    <row r="51" spans="2:14">
      <c r="B51" s="134"/>
      <c r="C51" s="91" t="s">
        <v>110</v>
      </c>
      <c r="D51" s="92">
        <f>4392/4/1000</f>
        <v>1.0980000000000001</v>
      </c>
      <c r="E51" s="93"/>
      <c r="F51" s="94"/>
      <c r="G51" s="94"/>
      <c r="H51" s="94"/>
      <c r="I51" s="144">
        <f t="shared" si="3"/>
        <v>0</v>
      </c>
      <c r="L51" s="97">
        <v>1.1335399999999999E-3</v>
      </c>
      <c r="M51" s="98"/>
      <c r="N51" s="99"/>
    </row>
    <row r="52" spans="2:14">
      <c r="B52" s="134"/>
      <c r="C52" s="91" t="s">
        <v>111</v>
      </c>
      <c r="D52" s="92">
        <f>5660/4/1000</f>
        <v>1.415</v>
      </c>
      <c r="E52" s="93"/>
      <c r="F52" s="94"/>
      <c r="G52" s="94"/>
      <c r="H52" s="94"/>
      <c r="I52" s="144">
        <f t="shared" si="3"/>
        <v>0</v>
      </c>
      <c r="L52" s="97">
        <v>2.826E-3</v>
      </c>
      <c r="M52" s="98"/>
      <c r="N52" s="99"/>
    </row>
    <row r="53" spans="2:14">
      <c r="B53" s="145"/>
      <c r="C53" s="146" t="s">
        <v>112</v>
      </c>
      <c r="D53" s="147">
        <f>8624/4/1000</f>
        <v>2.1560000000000001</v>
      </c>
      <c r="E53" s="148"/>
      <c r="F53" s="149"/>
      <c r="G53" s="149"/>
      <c r="H53" s="149"/>
      <c r="I53" s="150">
        <f t="shared" si="3"/>
        <v>0</v>
      </c>
      <c r="L53" s="97">
        <v>6.2179849999999997E-3</v>
      </c>
      <c r="M53" s="98"/>
      <c r="N53" s="99"/>
    </row>
    <row r="54" spans="2:14">
      <c r="B54" s="151" t="s">
        <v>131</v>
      </c>
      <c r="C54" s="127" t="s">
        <v>129</v>
      </c>
      <c r="D54" s="152">
        <v>7.1999999999999995E-2</v>
      </c>
      <c r="E54" s="129"/>
      <c r="F54" s="130"/>
      <c r="G54" s="130"/>
      <c r="H54" s="130"/>
      <c r="I54" s="143">
        <f t="shared" si="3"/>
        <v>0</v>
      </c>
      <c r="L54" s="97"/>
      <c r="M54" s="98"/>
      <c r="N54" s="99"/>
    </row>
    <row r="55" spans="2:14">
      <c r="B55" s="134" t="s">
        <v>132</v>
      </c>
      <c r="C55" s="91" t="s">
        <v>104</v>
      </c>
      <c r="D55" s="153">
        <v>8.4000000000000005E-2</v>
      </c>
      <c r="E55" s="93"/>
      <c r="F55" s="94"/>
      <c r="G55" s="94"/>
      <c r="H55" s="94"/>
      <c r="I55" s="144">
        <f t="shared" si="3"/>
        <v>0</v>
      </c>
      <c r="L55" s="97"/>
      <c r="M55" s="98"/>
      <c r="N55" s="99"/>
    </row>
    <row r="56" spans="2:14">
      <c r="B56" s="134"/>
      <c r="C56" s="91" t="s">
        <v>106</v>
      </c>
      <c r="D56" s="153">
        <v>0.12</v>
      </c>
      <c r="E56" s="93"/>
      <c r="F56" s="94"/>
      <c r="G56" s="94"/>
      <c r="H56" s="94"/>
      <c r="I56" s="144">
        <f t="shared" si="3"/>
        <v>0</v>
      </c>
      <c r="L56" s="97"/>
      <c r="M56" s="98"/>
      <c r="N56" s="99"/>
    </row>
    <row r="57" spans="2:14">
      <c r="B57" s="154"/>
      <c r="C57" s="101" t="s">
        <v>107</v>
      </c>
      <c r="D57" s="155">
        <v>0.16</v>
      </c>
      <c r="E57" s="103"/>
      <c r="F57" s="104"/>
      <c r="G57" s="104"/>
      <c r="H57" s="104"/>
      <c r="I57" s="156">
        <f t="shared" si="3"/>
        <v>0</v>
      </c>
      <c r="L57" s="97"/>
      <c r="M57" s="98"/>
      <c r="N57" s="99"/>
    </row>
    <row r="58" spans="2:14">
      <c r="B58" s="133" t="s">
        <v>133</v>
      </c>
      <c r="C58" s="157" t="s">
        <v>122</v>
      </c>
      <c r="D58" s="158">
        <v>0.2</v>
      </c>
      <c r="E58" s="159"/>
      <c r="F58" s="160"/>
      <c r="G58" s="160"/>
      <c r="H58" s="160"/>
      <c r="I58" s="161">
        <f t="shared" si="3"/>
        <v>0</v>
      </c>
      <c r="L58" s="97"/>
      <c r="M58" s="98"/>
      <c r="N58" s="99"/>
    </row>
    <row r="59" spans="2:14">
      <c r="B59" s="134" t="s">
        <v>134</v>
      </c>
      <c r="C59" s="91" t="s">
        <v>135</v>
      </c>
      <c r="D59" s="92">
        <v>0.3</v>
      </c>
      <c r="E59" s="93"/>
      <c r="F59" s="94"/>
      <c r="G59" s="94"/>
      <c r="H59" s="94"/>
      <c r="I59" s="144">
        <f t="shared" si="3"/>
        <v>0</v>
      </c>
      <c r="L59" s="97"/>
      <c r="M59" s="98"/>
      <c r="N59" s="99"/>
    </row>
    <row r="60" spans="2:14">
      <c r="B60" s="134"/>
      <c r="C60" s="91" t="s">
        <v>124</v>
      </c>
      <c r="D60" s="92">
        <v>0.4</v>
      </c>
      <c r="E60" s="93"/>
      <c r="F60" s="94"/>
      <c r="G60" s="94"/>
      <c r="H60" s="94"/>
      <c r="I60" s="144">
        <f t="shared" si="3"/>
        <v>0</v>
      </c>
      <c r="L60" s="97"/>
      <c r="M60" s="98"/>
      <c r="N60" s="99"/>
    </row>
    <row r="61" spans="2:14">
      <c r="B61" s="134"/>
      <c r="C61" s="91" t="s">
        <v>136</v>
      </c>
      <c r="D61" s="92">
        <v>0.6</v>
      </c>
      <c r="E61" s="93"/>
      <c r="F61" s="94"/>
      <c r="G61" s="94"/>
      <c r="H61" s="94"/>
      <c r="I61" s="144">
        <f t="shared" si="3"/>
        <v>0</v>
      </c>
      <c r="L61" s="97"/>
      <c r="M61" s="98"/>
      <c r="N61" s="99"/>
    </row>
    <row r="62" spans="2:14">
      <c r="B62" s="134"/>
      <c r="C62" s="91" t="s">
        <v>137</v>
      </c>
      <c r="D62" s="92">
        <v>0.7</v>
      </c>
      <c r="E62" s="93"/>
      <c r="F62" s="94"/>
      <c r="G62" s="94"/>
      <c r="H62" s="94"/>
      <c r="I62" s="144">
        <f t="shared" si="3"/>
        <v>0</v>
      </c>
      <c r="L62" s="97"/>
      <c r="M62" s="98"/>
      <c r="N62" s="99"/>
    </row>
    <row r="63" spans="2:14">
      <c r="B63" s="134"/>
      <c r="C63" s="91" t="s">
        <v>138</v>
      </c>
      <c r="D63" s="92">
        <v>1.1000000000000001</v>
      </c>
      <c r="E63" s="93"/>
      <c r="F63" s="94"/>
      <c r="G63" s="94"/>
      <c r="H63" s="94"/>
      <c r="I63" s="144">
        <f t="shared" si="3"/>
        <v>0</v>
      </c>
      <c r="L63" s="97"/>
      <c r="M63" s="98"/>
      <c r="N63" s="99"/>
    </row>
    <row r="64" spans="2:14">
      <c r="B64" s="134"/>
      <c r="C64" s="91" t="s">
        <v>139</v>
      </c>
      <c r="D64" s="92">
        <v>1.5</v>
      </c>
      <c r="E64" s="93"/>
      <c r="F64" s="94"/>
      <c r="G64" s="94"/>
      <c r="H64" s="94"/>
      <c r="I64" s="144">
        <f t="shared" si="3"/>
        <v>0</v>
      </c>
      <c r="L64" s="97"/>
      <c r="M64" s="98"/>
      <c r="N64" s="99"/>
    </row>
    <row r="65" spans="2:14">
      <c r="B65" s="134"/>
      <c r="C65" s="91" t="s">
        <v>140</v>
      </c>
      <c r="D65" s="92">
        <v>2</v>
      </c>
      <c r="E65" s="93"/>
      <c r="F65" s="94"/>
      <c r="G65" s="94"/>
      <c r="H65" s="94"/>
      <c r="I65" s="144">
        <f t="shared" si="3"/>
        <v>0</v>
      </c>
      <c r="L65" s="97"/>
      <c r="M65" s="98"/>
      <c r="N65" s="99"/>
    </row>
    <row r="66" spans="2:14">
      <c r="B66" s="145"/>
      <c r="C66" s="146" t="s">
        <v>141</v>
      </c>
      <c r="D66" s="147">
        <v>3.5</v>
      </c>
      <c r="E66" s="148"/>
      <c r="F66" s="149"/>
      <c r="G66" s="149"/>
      <c r="H66" s="149"/>
      <c r="I66" s="150">
        <f t="shared" si="3"/>
        <v>0</v>
      </c>
      <c r="L66" s="97"/>
      <c r="M66" s="98"/>
      <c r="N66" s="99"/>
    </row>
    <row r="67" spans="2:14">
      <c r="B67" s="151" t="s">
        <v>142</v>
      </c>
      <c r="C67" s="127" t="s">
        <v>143</v>
      </c>
      <c r="D67" s="128">
        <f>1.18/1.8</f>
        <v>0.65555555555555556</v>
      </c>
      <c r="E67" s="129"/>
      <c r="F67" s="130"/>
      <c r="G67" s="130"/>
      <c r="H67" s="131">
        <f>D67*E67</f>
        <v>0</v>
      </c>
      <c r="I67" s="132"/>
      <c r="L67" s="97">
        <v>3.0479999999999998E-4</v>
      </c>
      <c r="M67" s="98">
        <f t="shared" ref="M67" si="5">E67*L67</f>
        <v>0</v>
      </c>
      <c r="N67" s="99"/>
    </row>
    <row r="68" spans="2:14">
      <c r="B68" s="134"/>
      <c r="C68" s="91" t="s">
        <v>144</v>
      </c>
      <c r="D68" s="92">
        <f>2.38/1.8</f>
        <v>1.3222222222222222</v>
      </c>
      <c r="E68" s="93"/>
      <c r="F68" s="94"/>
      <c r="G68" s="94"/>
      <c r="H68" s="95">
        <f>D68*E68</f>
        <v>0</v>
      </c>
      <c r="I68" s="96"/>
      <c r="L68" s="97">
        <v>8.0799999999999991E-4</v>
      </c>
      <c r="M68" s="98"/>
      <c r="N68" s="99"/>
    </row>
    <row r="69" spans="2:14">
      <c r="B69" s="154"/>
      <c r="C69" s="101" t="s">
        <v>145</v>
      </c>
      <c r="D69" s="102">
        <f>3.66/1.8</f>
        <v>2.0333333333333332</v>
      </c>
      <c r="E69" s="103"/>
      <c r="F69" s="104"/>
      <c r="G69" s="104"/>
      <c r="H69" s="105">
        <f>D69*E69</f>
        <v>0</v>
      </c>
      <c r="I69" s="106"/>
      <c r="L69" s="97">
        <v>1.7999999999999997E-3</v>
      </c>
      <c r="M69" s="98"/>
      <c r="N69" s="99"/>
    </row>
    <row r="70" spans="2:14">
      <c r="B70" s="162" t="s">
        <v>146</v>
      </c>
      <c r="C70" s="157" t="s">
        <v>147</v>
      </c>
      <c r="D70" s="158">
        <f>9.4/3</f>
        <v>3.1333333333333333</v>
      </c>
      <c r="E70" s="159"/>
      <c r="F70" s="163">
        <f>D70*E70</f>
        <v>0</v>
      </c>
      <c r="G70" s="160"/>
      <c r="H70" s="160"/>
      <c r="I70" s="164"/>
      <c r="L70" s="97"/>
      <c r="M70" s="98"/>
      <c r="N70" s="99"/>
    </row>
    <row r="71" spans="2:14">
      <c r="B71" s="145" t="s">
        <v>148</v>
      </c>
      <c r="C71" s="91" t="s">
        <v>149</v>
      </c>
      <c r="D71" s="92">
        <f>10.4/3</f>
        <v>3.4666666666666668</v>
      </c>
      <c r="E71" s="93"/>
      <c r="F71" s="163">
        <f t="shared" ref="F71:F85" si="6">D71*E71</f>
        <v>0</v>
      </c>
      <c r="G71" s="94"/>
      <c r="H71" s="94"/>
      <c r="I71" s="96"/>
      <c r="L71" s="97"/>
      <c r="M71" s="98"/>
      <c r="N71" s="99"/>
    </row>
    <row r="72" spans="2:14">
      <c r="B72" s="145"/>
      <c r="C72" s="91" t="s">
        <v>150</v>
      </c>
      <c r="D72" s="92">
        <f>11.5/3</f>
        <v>3.8333333333333335</v>
      </c>
      <c r="E72" s="93"/>
      <c r="F72" s="163">
        <f t="shared" si="6"/>
        <v>0</v>
      </c>
      <c r="G72" s="94"/>
      <c r="H72" s="94"/>
      <c r="I72" s="96"/>
      <c r="L72" s="97"/>
      <c r="M72" s="98"/>
      <c r="N72" s="99"/>
    </row>
    <row r="73" spans="2:14">
      <c r="B73" s="145"/>
      <c r="C73" s="91" t="s">
        <v>151</v>
      </c>
      <c r="D73" s="92">
        <f>12.5/3</f>
        <v>4.166666666666667</v>
      </c>
      <c r="E73" s="93"/>
      <c r="F73" s="163">
        <f t="shared" si="6"/>
        <v>0</v>
      </c>
      <c r="G73" s="94"/>
      <c r="H73" s="94"/>
      <c r="I73" s="96"/>
      <c r="L73" s="97"/>
      <c r="M73" s="98"/>
      <c r="N73" s="99"/>
    </row>
    <row r="74" spans="2:14">
      <c r="B74" s="145"/>
      <c r="C74" s="91" t="s">
        <v>152</v>
      </c>
      <c r="D74" s="92">
        <f>13.6/3</f>
        <v>4.5333333333333332</v>
      </c>
      <c r="E74" s="93"/>
      <c r="F74" s="163">
        <f t="shared" si="6"/>
        <v>0</v>
      </c>
      <c r="G74" s="94"/>
      <c r="H74" s="94"/>
      <c r="I74" s="96"/>
      <c r="L74" s="97"/>
      <c r="M74" s="98"/>
      <c r="N74" s="99"/>
    </row>
    <row r="75" spans="2:14">
      <c r="B75" s="145"/>
      <c r="C75" s="91" t="s">
        <v>153</v>
      </c>
      <c r="D75" s="92">
        <f>15.7/3</f>
        <v>5.2333333333333334</v>
      </c>
      <c r="E75" s="93"/>
      <c r="F75" s="163">
        <f t="shared" si="6"/>
        <v>0</v>
      </c>
      <c r="G75" s="94"/>
      <c r="H75" s="94"/>
      <c r="I75" s="96"/>
      <c r="L75" s="97"/>
      <c r="M75" s="98"/>
      <c r="N75" s="99"/>
    </row>
    <row r="76" spans="2:14">
      <c r="B76" s="145"/>
      <c r="C76" s="91" t="s">
        <v>154</v>
      </c>
      <c r="D76" s="92">
        <f>12.7/3</f>
        <v>4.2333333333333334</v>
      </c>
      <c r="E76" s="93"/>
      <c r="F76" s="163">
        <f t="shared" si="6"/>
        <v>0</v>
      </c>
      <c r="G76" s="94"/>
      <c r="H76" s="94"/>
      <c r="I76" s="96"/>
      <c r="L76" s="97"/>
      <c r="M76" s="98"/>
      <c r="N76" s="99"/>
    </row>
    <row r="77" spans="2:14">
      <c r="B77" s="145"/>
      <c r="C77" s="91" t="s">
        <v>155</v>
      </c>
      <c r="D77" s="92">
        <f>13.8/3</f>
        <v>4.6000000000000005</v>
      </c>
      <c r="E77" s="93"/>
      <c r="F77" s="163">
        <f t="shared" si="6"/>
        <v>0</v>
      </c>
      <c r="G77" s="94"/>
      <c r="H77" s="94"/>
      <c r="I77" s="96"/>
      <c r="L77" s="97"/>
      <c r="M77" s="98"/>
      <c r="N77" s="99"/>
    </row>
    <row r="78" spans="2:14">
      <c r="B78" s="145"/>
      <c r="C78" s="91" t="s">
        <v>156</v>
      </c>
      <c r="D78" s="92">
        <f>15/3</f>
        <v>5</v>
      </c>
      <c r="E78" s="93"/>
      <c r="F78" s="163">
        <f t="shared" si="6"/>
        <v>0</v>
      </c>
      <c r="G78" s="94"/>
      <c r="H78" s="94"/>
      <c r="I78" s="96"/>
      <c r="L78" s="97"/>
      <c r="M78" s="98"/>
      <c r="N78" s="99"/>
    </row>
    <row r="79" spans="2:14">
      <c r="B79" s="145"/>
      <c r="C79" s="91" t="s">
        <v>157</v>
      </c>
      <c r="D79" s="92">
        <f>16.2/3</f>
        <v>5.3999999999999995</v>
      </c>
      <c r="E79" s="93"/>
      <c r="F79" s="163">
        <f t="shared" si="6"/>
        <v>0</v>
      </c>
      <c r="G79" s="94"/>
      <c r="H79" s="94"/>
      <c r="I79" s="96"/>
      <c r="L79" s="97"/>
      <c r="M79" s="98"/>
      <c r="N79" s="99"/>
    </row>
    <row r="80" spans="2:14">
      <c r="B80" s="145"/>
      <c r="C80" s="91" t="s">
        <v>158</v>
      </c>
      <c r="D80" s="92">
        <f>17.4/3</f>
        <v>5.8</v>
      </c>
      <c r="E80" s="93"/>
      <c r="F80" s="163">
        <f t="shared" si="6"/>
        <v>0</v>
      </c>
      <c r="G80" s="94"/>
      <c r="H80" s="94"/>
      <c r="I80" s="96"/>
      <c r="L80" s="97"/>
      <c r="M80" s="98"/>
      <c r="N80" s="99"/>
    </row>
    <row r="81" spans="2:14">
      <c r="B81" s="145"/>
      <c r="C81" s="91" t="s">
        <v>159</v>
      </c>
      <c r="D81" s="92">
        <f>18.6/3</f>
        <v>6.2</v>
      </c>
      <c r="E81" s="93"/>
      <c r="F81" s="163">
        <f t="shared" si="6"/>
        <v>0</v>
      </c>
      <c r="G81" s="94"/>
      <c r="H81" s="94"/>
      <c r="I81" s="96"/>
      <c r="L81" s="97"/>
      <c r="M81" s="98"/>
      <c r="N81" s="99"/>
    </row>
    <row r="82" spans="2:14">
      <c r="B82" s="145"/>
      <c r="C82" s="91" t="s">
        <v>160</v>
      </c>
      <c r="D82" s="92">
        <f>19.8/3</f>
        <v>6.6000000000000005</v>
      </c>
      <c r="E82" s="93"/>
      <c r="F82" s="163">
        <f t="shared" si="6"/>
        <v>0</v>
      </c>
      <c r="G82" s="94"/>
      <c r="H82" s="94"/>
      <c r="I82" s="96"/>
      <c r="L82" s="97"/>
      <c r="M82" s="98"/>
      <c r="N82" s="99"/>
    </row>
    <row r="83" spans="2:14">
      <c r="B83" s="145"/>
      <c r="C83" s="91" t="s">
        <v>161</v>
      </c>
      <c r="D83" s="92">
        <f>21/3</f>
        <v>7</v>
      </c>
      <c r="E83" s="93"/>
      <c r="F83" s="163">
        <f t="shared" si="6"/>
        <v>0</v>
      </c>
      <c r="G83" s="94"/>
      <c r="H83" s="94"/>
      <c r="I83" s="96"/>
      <c r="L83" s="97"/>
      <c r="M83" s="98"/>
      <c r="N83" s="99"/>
    </row>
    <row r="84" spans="2:14">
      <c r="B84" s="145"/>
      <c r="C84" s="91" t="s">
        <v>162</v>
      </c>
      <c r="D84" s="92">
        <f>22.2/3</f>
        <v>7.3999999999999995</v>
      </c>
      <c r="E84" s="93"/>
      <c r="F84" s="163">
        <f t="shared" si="6"/>
        <v>0</v>
      </c>
      <c r="G84" s="94"/>
      <c r="H84" s="94"/>
      <c r="I84" s="96"/>
      <c r="L84" s="97"/>
      <c r="M84" s="98"/>
      <c r="N84" s="99"/>
    </row>
    <row r="85" spans="2:14">
      <c r="B85" s="145"/>
      <c r="C85" s="146" t="s">
        <v>163</v>
      </c>
      <c r="D85" s="147">
        <f>27.7/3</f>
        <v>9.2333333333333325</v>
      </c>
      <c r="E85" s="148"/>
      <c r="F85" s="163">
        <f t="shared" si="6"/>
        <v>0</v>
      </c>
      <c r="G85" s="149"/>
      <c r="H85" s="149"/>
      <c r="I85" s="165"/>
      <c r="L85" s="97"/>
      <c r="M85" s="98"/>
      <c r="N85" s="99"/>
    </row>
    <row r="86" spans="2:14">
      <c r="B86" s="151" t="s">
        <v>146</v>
      </c>
      <c r="C86" s="127" t="s">
        <v>147</v>
      </c>
      <c r="D86" s="128">
        <f>4.6/3</f>
        <v>1.5333333333333332</v>
      </c>
      <c r="E86" s="129"/>
      <c r="F86" s="130"/>
      <c r="G86" s="131">
        <f t="shared" ref="G86:G99" si="7">D86*E86</f>
        <v>0</v>
      </c>
      <c r="H86" s="130" t="s">
        <v>164</v>
      </c>
      <c r="I86" s="132"/>
      <c r="L86" s="97"/>
      <c r="M86" s="98"/>
      <c r="N86" s="99"/>
    </row>
    <row r="87" spans="2:14">
      <c r="B87" s="145" t="s">
        <v>165</v>
      </c>
      <c r="C87" s="91" t="s">
        <v>149</v>
      </c>
      <c r="D87" s="92">
        <f>5/3</f>
        <v>1.6666666666666667</v>
      </c>
      <c r="E87" s="93"/>
      <c r="F87" s="94"/>
      <c r="G87" s="95">
        <f t="shared" si="7"/>
        <v>0</v>
      </c>
      <c r="H87" s="94" t="s">
        <v>164</v>
      </c>
      <c r="I87" s="96"/>
      <c r="L87" s="97"/>
      <c r="M87" s="98"/>
      <c r="N87" s="99"/>
    </row>
    <row r="88" spans="2:14">
      <c r="B88" s="145"/>
      <c r="C88" s="91" t="s">
        <v>150</v>
      </c>
      <c r="D88" s="92">
        <f>5.5/3</f>
        <v>1.8333333333333333</v>
      </c>
      <c r="E88" s="93"/>
      <c r="F88" s="94"/>
      <c r="G88" s="95">
        <f t="shared" si="7"/>
        <v>0</v>
      </c>
      <c r="H88" s="94" t="s">
        <v>164</v>
      </c>
      <c r="I88" s="96"/>
      <c r="L88" s="97"/>
      <c r="M88" s="98"/>
      <c r="N88" s="99"/>
    </row>
    <row r="89" spans="2:14">
      <c r="B89" s="145"/>
      <c r="C89" s="91" t="s">
        <v>151</v>
      </c>
      <c r="D89" s="92">
        <f>5.9/3</f>
        <v>1.9666666666666668</v>
      </c>
      <c r="E89" s="93"/>
      <c r="F89" s="94"/>
      <c r="G89" s="95">
        <f t="shared" si="7"/>
        <v>0</v>
      </c>
      <c r="H89" s="94" t="s">
        <v>164</v>
      </c>
      <c r="I89" s="96"/>
      <c r="L89" s="97"/>
      <c r="M89" s="98"/>
      <c r="N89" s="99"/>
    </row>
    <row r="90" spans="2:14">
      <c r="B90" s="145"/>
      <c r="C90" s="91" t="s">
        <v>152</v>
      </c>
      <c r="D90" s="92">
        <f>6.4/3</f>
        <v>2.1333333333333333</v>
      </c>
      <c r="E90" s="93"/>
      <c r="F90" s="94"/>
      <c r="G90" s="95">
        <f t="shared" si="7"/>
        <v>0</v>
      </c>
      <c r="H90" s="94" t="s">
        <v>164</v>
      </c>
      <c r="I90" s="96"/>
      <c r="L90" s="97"/>
      <c r="M90" s="98"/>
      <c r="N90" s="99"/>
    </row>
    <row r="91" spans="2:14">
      <c r="B91" s="145"/>
      <c r="C91" s="91" t="s">
        <v>153</v>
      </c>
      <c r="D91" s="92">
        <f>7.3/3</f>
        <v>2.4333333333333331</v>
      </c>
      <c r="E91" s="93"/>
      <c r="F91" s="94"/>
      <c r="G91" s="95">
        <f t="shared" si="7"/>
        <v>0</v>
      </c>
      <c r="H91" s="94" t="s">
        <v>164</v>
      </c>
      <c r="I91" s="96"/>
      <c r="L91" s="97"/>
      <c r="M91" s="98"/>
      <c r="N91" s="99"/>
    </row>
    <row r="92" spans="2:14">
      <c r="B92" s="145"/>
      <c r="C92" s="91" t="s">
        <v>166</v>
      </c>
      <c r="D92" s="92">
        <f>8.3/3</f>
        <v>2.7666666666666671</v>
      </c>
      <c r="E92" s="93"/>
      <c r="F92" s="94"/>
      <c r="G92" s="95">
        <f t="shared" si="7"/>
        <v>0</v>
      </c>
      <c r="H92" s="94" t="s">
        <v>164</v>
      </c>
      <c r="I92" s="96"/>
      <c r="L92" s="97"/>
      <c r="M92" s="98"/>
      <c r="N92" s="99"/>
    </row>
    <row r="93" spans="2:14">
      <c r="B93" s="145"/>
      <c r="C93" s="91" t="s">
        <v>154</v>
      </c>
      <c r="D93" s="92">
        <f>5.1/3</f>
        <v>1.7</v>
      </c>
      <c r="E93" s="93"/>
      <c r="F93" s="94"/>
      <c r="G93" s="95">
        <f t="shared" si="7"/>
        <v>0</v>
      </c>
      <c r="H93" s="94" t="s">
        <v>164</v>
      </c>
      <c r="I93" s="96"/>
      <c r="L93" s="97"/>
      <c r="M93" s="98"/>
      <c r="N93" s="99"/>
    </row>
    <row r="94" spans="2:14">
      <c r="B94" s="145"/>
      <c r="C94" s="91" t="s">
        <v>155</v>
      </c>
      <c r="D94" s="92">
        <f>5.6/3</f>
        <v>1.8666666666666665</v>
      </c>
      <c r="E94" s="93"/>
      <c r="F94" s="94"/>
      <c r="G94" s="95">
        <f t="shared" si="7"/>
        <v>0</v>
      </c>
      <c r="H94" s="94" t="s">
        <v>164</v>
      </c>
      <c r="I94" s="96"/>
      <c r="L94" s="97"/>
      <c r="M94" s="98"/>
      <c r="N94" s="99"/>
    </row>
    <row r="95" spans="2:14">
      <c r="B95" s="145"/>
      <c r="C95" s="91" t="s">
        <v>156</v>
      </c>
      <c r="D95" s="92">
        <f>6.1/3</f>
        <v>2.0333333333333332</v>
      </c>
      <c r="E95" s="93"/>
      <c r="F95" s="94"/>
      <c r="G95" s="95">
        <f t="shared" si="7"/>
        <v>0</v>
      </c>
      <c r="H95" s="94" t="s">
        <v>164</v>
      </c>
      <c r="I95" s="96"/>
      <c r="L95" s="97"/>
      <c r="M95" s="98"/>
      <c r="N95" s="99"/>
    </row>
    <row r="96" spans="2:14">
      <c r="B96" s="145"/>
      <c r="C96" s="91" t="s">
        <v>157</v>
      </c>
      <c r="D96" s="92">
        <f>6.6/3</f>
        <v>2.1999999999999997</v>
      </c>
      <c r="E96" s="93"/>
      <c r="F96" s="94"/>
      <c r="G96" s="95">
        <f t="shared" si="7"/>
        <v>0</v>
      </c>
      <c r="H96" s="94" t="s">
        <v>164</v>
      </c>
      <c r="I96" s="96"/>
      <c r="L96" s="97"/>
      <c r="M96" s="98"/>
      <c r="N96" s="99"/>
    </row>
    <row r="97" spans="2:14">
      <c r="B97" s="145"/>
      <c r="C97" s="91" t="s">
        <v>158</v>
      </c>
      <c r="D97" s="92">
        <f>7.1/3</f>
        <v>2.3666666666666667</v>
      </c>
      <c r="E97" s="93"/>
      <c r="F97" s="94"/>
      <c r="G97" s="95">
        <f t="shared" si="7"/>
        <v>0</v>
      </c>
      <c r="H97" s="94" t="s">
        <v>164</v>
      </c>
      <c r="I97" s="96"/>
      <c r="L97" s="97"/>
      <c r="M97" s="98"/>
      <c r="N97" s="99"/>
    </row>
    <row r="98" spans="2:14">
      <c r="B98" s="145"/>
      <c r="C98" s="91" t="s">
        <v>160</v>
      </c>
      <c r="D98" s="92">
        <f>9.6/3</f>
        <v>3.1999999999999997</v>
      </c>
      <c r="E98" s="93"/>
      <c r="F98" s="94"/>
      <c r="G98" s="95">
        <f t="shared" si="7"/>
        <v>0</v>
      </c>
      <c r="H98" s="94" t="s">
        <v>164</v>
      </c>
      <c r="I98" s="96"/>
      <c r="L98" s="97"/>
      <c r="M98" s="98"/>
      <c r="N98" s="99"/>
    </row>
    <row r="99" spans="2:14">
      <c r="B99" s="145"/>
      <c r="C99" s="146" t="s">
        <v>162</v>
      </c>
      <c r="D99" s="147">
        <f>10.9/3</f>
        <v>3.6333333333333333</v>
      </c>
      <c r="E99" s="148"/>
      <c r="F99" s="104"/>
      <c r="G99" s="105">
        <f t="shared" si="7"/>
        <v>0</v>
      </c>
      <c r="H99" s="104" t="s">
        <v>164</v>
      </c>
      <c r="I99" s="106"/>
      <c r="L99" s="166"/>
      <c r="M99" s="167"/>
      <c r="N99" s="168"/>
    </row>
    <row r="100" spans="2:14" ht="14.25" thickBot="1">
      <c r="B100" s="169" t="s">
        <v>26</v>
      </c>
      <c r="C100" s="170"/>
      <c r="D100" s="170"/>
      <c r="E100" s="170"/>
      <c r="F100" s="171">
        <f>SUM(F6:F99)</f>
        <v>0</v>
      </c>
      <c r="G100" s="171">
        <f>SUM(G6:G99)</f>
        <v>0</v>
      </c>
      <c r="H100" s="171">
        <f>SUM(H6:H99)</f>
        <v>0</v>
      </c>
      <c r="I100" s="172">
        <f>SUM(I6:I99)</f>
        <v>0</v>
      </c>
      <c r="L100" s="173" t="s">
        <v>26</v>
      </c>
      <c r="M100" s="174">
        <f>SUM(M6:M99)</f>
        <v>0</v>
      </c>
      <c r="N100" s="175">
        <f>SUM(N6:N99)</f>
        <v>0</v>
      </c>
    </row>
  </sheetData>
  <mergeCells count="6">
    <mergeCell ref="B3:B5"/>
    <mergeCell ref="D3:D4"/>
    <mergeCell ref="E3:E4"/>
    <mergeCell ref="B42:B44"/>
    <mergeCell ref="D42:D43"/>
    <mergeCell ref="E42:E4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2" fitToWidth="0" orientation="portrait" r:id="rId1"/>
  <headerFooter alignWithMargins="0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1647F-84FD-4593-8031-ABFD37A3D4DF}">
  <sheetPr>
    <pageSetUpPr fitToPage="1"/>
  </sheetPr>
  <dimension ref="A1:U81"/>
  <sheetViews>
    <sheetView view="pageBreakPreview" topLeftCell="B1" zoomScaleNormal="100" workbookViewId="0">
      <pane xSplit="2" ySplit="3" topLeftCell="D4" activePane="bottomRight" state="frozen"/>
      <selection activeCell="I19" sqref="I19"/>
      <selection pane="topRight" activeCell="I19" sqref="I19"/>
      <selection pane="bottomLeft" activeCell="I19" sqref="I19"/>
      <selection pane="bottomRight" activeCell="E7" sqref="E7"/>
    </sheetView>
  </sheetViews>
  <sheetFormatPr defaultRowHeight="13.5"/>
  <cols>
    <col min="1" max="1" width="0" style="180" hidden="1" customWidth="1"/>
    <col min="2" max="3" width="9.625" style="180" customWidth="1"/>
    <col min="4" max="13" width="7.625" style="180" customWidth="1"/>
    <col min="14" max="16" width="10.625" style="180" customWidth="1"/>
    <col min="17" max="17" width="9" style="180"/>
    <col min="18" max="19" width="12.625" style="310" customWidth="1"/>
    <col min="20" max="20" width="12.625" style="193" customWidth="1"/>
    <col min="21" max="256" width="9" style="180"/>
    <col min="257" max="257" width="0" style="180" hidden="1" customWidth="1"/>
    <col min="258" max="259" width="9.625" style="180" customWidth="1"/>
    <col min="260" max="269" width="7.625" style="180" customWidth="1"/>
    <col min="270" max="272" width="10.625" style="180" customWidth="1"/>
    <col min="273" max="512" width="9" style="180"/>
    <col min="513" max="513" width="0" style="180" hidden="1" customWidth="1"/>
    <col min="514" max="515" width="9.625" style="180" customWidth="1"/>
    <col min="516" max="525" width="7.625" style="180" customWidth="1"/>
    <col min="526" max="528" width="10.625" style="180" customWidth="1"/>
    <col min="529" max="768" width="9" style="180"/>
    <col min="769" max="769" width="0" style="180" hidden="1" customWidth="1"/>
    <col min="770" max="771" width="9.625" style="180" customWidth="1"/>
    <col min="772" max="781" width="7.625" style="180" customWidth="1"/>
    <col min="782" max="784" width="10.625" style="180" customWidth="1"/>
    <col min="785" max="1024" width="9" style="180"/>
    <col min="1025" max="1025" width="0" style="180" hidden="1" customWidth="1"/>
    <col min="1026" max="1027" width="9.625" style="180" customWidth="1"/>
    <col min="1028" max="1037" width="7.625" style="180" customWidth="1"/>
    <col min="1038" max="1040" width="10.625" style="180" customWidth="1"/>
    <col min="1041" max="1280" width="9" style="180"/>
    <col min="1281" max="1281" width="0" style="180" hidden="1" customWidth="1"/>
    <col min="1282" max="1283" width="9.625" style="180" customWidth="1"/>
    <col min="1284" max="1293" width="7.625" style="180" customWidth="1"/>
    <col min="1294" max="1296" width="10.625" style="180" customWidth="1"/>
    <col min="1297" max="1536" width="9" style="180"/>
    <col min="1537" max="1537" width="0" style="180" hidden="1" customWidth="1"/>
    <col min="1538" max="1539" width="9.625" style="180" customWidth="1"/>
    <col min="1540" max="1549" width="7.625" style="180" customWidth="1"/>
    <col min="1550" max="1552" width="10.625" style="180" customWidth="1"/>
    <col min="1553" max="1792" width="9" style="180"/>
    <col min="1793" max="1793" width="0" style="180" hidden="1" customWidth="1"/>
    <col min="1794" max="1795" width="9.625" style="180" customWidth="1"/>
    <col min="1796" max="1805" width="7.625" style="180" customWidth="1"/>
    <col min="1806" max="1808" width="10.625" style="180" customWidth="1"/>
    <col min="1809" max="2048" width="9" style="180"/>
    <col min="2049" max="2049" width="0" style="180" hidden="1" customWidth="1"/>
    <col min="2050" max="2051" width="9.625" style="180" customWidth="1"/>
    <col min="2052" max="2061" width="7.625" style="180" customWidth="1"/>
    <col min="2062" max="2064" width="10.625" style="180" customWidth="1"/>
    <col min="2065" max="2304" width="9" style="180"/>
    <col min="2305" max="2305" width="0" style="180" hidden="1" customWidth="1"/>
    <col min="2306" max="2307" width="9.625" style="180" customWidth="1"/>
    <col min="2308" max="2317" width="7.625" style="180" customWidth="1"/>
    <col min="2318" max="2320" width="10.625" style="180" customWidth="1"/>
    <col min="2321" max="2560" width="9" style="180"/>
    <col min="2561" max="2561" width="0" style="180" hidden="1" customWidth="1"/>
    <col min="2562" max="2563" width="9.625" style="180" customWidth="1"/>
    <col min="2564" max="2573" width="7.625" style="180" customWidth="1"/>
    <col min="2574" max="2576" width="10.625" style="180" customWidth="1"/>
    <col min="2577" max="2816" width="9" style="180"/>
    <col min="2817" max="2817" width="0" style="180" hidden="1" customWidth="1"/>
    <col min="2818" max="2819" width="9.625" style="180" customWidth="1"/>
    <col min="2820" max="2829" width="7.625" style="180" customWidth="1"/>
    <col min="2830" max="2832" width="10.625" style="180" customWidth="1"/>
    <col min="2833" max="3072" width="9" style="180"/>
    <col min="3073" max="3073" width="0" style="180" hidden="1" customWidth="1"/>
    <col min="3074" max="3075" width="9.625" style="180" customWidth="1"/>
    <col min="3076" max="3085" width="7.625" style="180" customWidth="1"/>
    <col min="3086" max="3088" width="10.625" style="180" customWidth="1"/>
    <col min="3089" max="3328" width="9" style="180"/>
    <col min="3329" max="3329" width="0" style="180" hidden="1" customWidth="1"/>
    <col min="3330" max="3331" width="9.625" style="180" customWidth="1"/>
    <col min="3332" max="3341" width="7.625" style="180" customWidth="1"/>
    <col min="3342" max="3344" width="10.625" style="180" customWidth="1"/>
    <col min="3345" max="3584" width="9" style="180"/>
    <col min="3585" max="3585" width="0" style="180" hidden="1" customWidth="1"/>
    <col min="3586" max="3587" width="9.625" style="180" customWidth="1"/>
    <col min="3588" max="3597" width="7.625" style="180" customWidth="1"/>
    <col min="3598" max="3600" width="10.625" style="180" customWidth="1"/>
    <col min="3601" max="3840" width="9" style="180"/>
    <col min="3841" max="3841" width="0" style="180" hidden="1" customWidth="1"/>
    <col min="3842" max="3843" width="9.625" style="180" customWidth="1"/>
    <col min="3844" max="3853" width="7.625" style="180" customWidth="1"/>
    <col min="3854" max="3856" width="10.625" style="180" customWidth="1"/>
    <col min="3857" max="4096" width="9" style="180"/>
    <col min="4097" max="4097" width="0" style="180" hidden="1" customWidth="1"/>
    <col min="4098" max="4099" width="9.625" style="180" customWidth="1"/>
    <col min="4100" max="4109" width="7.625" style="180" customWidth="1"/>
    <col min="4110" max="4112" width="10.625" style="180" customWidth="1"/>
    <col min="4113" max="4352" width="9" style="180"/>
    <col min="4353" max="4353" width="0" style="180" hidden="1" customWidth="1"/>
    <col min="4354" max="4355" width="9.625" style="180" customWidth="1"/>
    <col min="4356" max="4365" width="7.625" style="180" customWidth="1"/>
    <col min="4366" max="4368" width="10.625" style="180" customWidth="1"/>
    <col min="4369" max="4608" width="9" style="180"/>
    <col min="4609" max="4609" width="0" style="180" hidden="1" customWidth="1"/>
    <col min="4610" max="4611" width="9.625" style="180" customWidth="1"/>
    <col min="4612" max="4621" width="7.625" style="180" customWidth="1"/>
    <col min="4622" max="4624" width="10.625" style="180" customWidth="1"/>
    <col min="4625" max="4864" width="9" style="180"/>
    <col min="4865" max="4865" width="0" style="180" hidden="1" customWidth="1"/>
    <col min="4866" max="4867" width="9.625" style="180" customWidth="1"/>
    <col min="4868" max="4877" width="7.625" style="180" customWidth="1"/>
    <col min="4878" max="4880" width="10.625" style="180" customWidth="1"/>
    <col min="4881" max="5120" width="9" style="180"/>
    <col min="5121" max="5121" width="0" style="180" hidden="1" customWidth="1"/>
    <col min="5122" max="5123" width="9.625" style="180" customWidth="1"/>
    <col min="5124" max="5133" width="7.625" style="180" customWidth="1"/>
    <col min="5134" max="5136" width="10.625" style="180" customWidth="1"/>
    <col min="5137" max="5376" width="9" style="180"/>
    <col min="5377" max="5377" width="0" style="180" hidden="1" customWidth="1"/>
    <col min="5378" max="5379" width="9.625" style="180" customWidth="1"/>
    <col min="5380" max="5389" width="7.625" style="180" customWidth="1"/>
    <col min="5390" max="5392" width="10.625" style="180" customWidth="1"/>
    <col min="5393" max="5632" width="9" style="180"/>
    <col min="5633" max="5633" width="0" style="180" hidden="1" customWidth="1"/>
    <col min="5634" max="5635" width="9.625" style="180" customWidth="1"/>
    <col min="5636" max="5645" width="7.625" style="180" customWidth="1"/>
    <col min="5646" max="5648" width="10.625" style="180" customWidth="1"/>
    <col min="5649" max="5888" width="9" style="180"/>
    <col min="5889" max="5889" width="0" style="180" hidden="1" customWidth="1"/>
    <col min="5890" max="5891" width="9.625" style="180" customWidth="1"/>
    <col min="5892" max="5901" width="7.625" style="180" customWidth="1"/>
    <col min="5902" max="5904" width="10.625" style="180" customWidth="1"/>
    <col min="5905" max="6144" width="9" style="180"/>
    <col min="6145" max="6145" width="0" style="180" hidden="1" customWidth="1"/>
    <col min="6146" max="6147" width="9.625" style="180" customWidth="1"/>
    <col min="6148" max="6157" width="7.625" style="180" customWidth="1"/>
    <col min="6158" max="6160" width="10.625" style="180" customWidth="1"/>
    <col min="6161" max="6400" width="9" style="180"/>
    <col min="6401" max="6401" width="0" style="180" hidden="1" customWidth="1"/>
    <col min="6402" max="6403" width="9.625" style="180" customWidth="1"/>
    <col min="6404" max="6413" width="7.625" style="180" customWidth="1"/>
    <col min="6414" max="6416" width="10.625" style="180" customWidth="1"/>
    <col min="6417" max="6656" width="9" style="180"/>
    <col min="6657" max="6657" width="0" style="180" hidden="1" customWidth="1"/>
    <col min="6658" max="6659" width="9.625" style="180" customWidth="1"/>
    <col min="6660" max="6669" width="7.625" style="180" customWidth="1"/>
    <col min="6670" max="6672" width="10.625" style="180" customWidth="1"/>
    <col min="6673" max="6912" width="9" style="180"/>
    <col min="6913" max="6913" width="0" style="180" hidden="1" customWidth="1"/>
    <col min="6914" max="6915" width="9.625" style="180" customWidth="1"/>
    <col min="6916" max="6925" width="7.625" style="180" customWidth="1"/>
    <col min="6926" max="6928" width="10.625" style="180" customWidth="1"/>
    <col min="6929" max="7168" width="9" style="180"/>
    <col min="7169" max="7169" width="0" style="180" hidden="1" customWidth="1"/>
    <col min="7170" max="7171" width="9.625" style="180" customWidth="1"/>
    <col min="7172" max="7181" width="7.625" style="180" customWidth="1"/>
    <col min="7182" max="7184" width="10.625" style="180" customWidth="1"/>
    <col min="7185" max="7424" width="9" style="180"/>
    <col min="7425" max="7425" width="0" style="180" hidden="1" customWidth="1"/>
    <col min="7426" max="7427" width="9.625" style="180" customWidth="1"/>
    <col min="7428" max="7437" width="7.625" style="180" customWidth="1"/>
    <col min="7438" max="7440" width="10.625" style="180" customWidth="1"/>
    <col min="7441" max="7680" width="9" style="180"/>
    <col min="7681" max="7681" width="0" style="180" hidden="1" customWidth="1"/>
    <col min="7682" max="7683" width="9.625" style="180" customWidth="1"/>
    <col min="7684" max="7693" width="7.625" style="180" customWidth="1"/>
    <col min="7694" max="7696" width="10.625" style="180" customWidth="1"/>
    <col min="7697" max="7936" width="9" style="180"/>
    <col min="7937" max="7937" width="0" style="180" hidden="1" customWidth="1"/>
    <col min="7938" max="7939" width="9.625" style="180" customWidth="1"/>
    <col min="7940" max="7949" width="7.625" style="180" customWidth="1"/>
    <col min="7950" max="7952" width="10.625" style="180" customWidth="1"/>
    <col min="7953" max="8192" width="9" style="180"/>
    <col min="8193" max="8193" width="0" style="180" hidden="1" customWidth="1"/>
    <col min="8194" max="8195" width="9.625" style="180" customWidth="1"/>
    <col min="8196" max="8205" width="7.625" style="180" customWidth="1"/>
    <col min="8206" max="8208" width="10.625" style="180" customWidth="1"/>
    <col min="8209" max="8448" width="9" style="180"/>
    <col min="8449" max="8449" width="0" style="180" hidden="1" customWidth="1"/>
    <col min="8450" max="8451" width="9.625" style="180" customWidth="1"/>
    <col min="8452" max="8461" width="7.625" style="180" customWidth="1"/>
    <col min="8462" max="8464" width="10.625" style="180" customWidth="1"/>
    <col min="8465" max="8704" width="9" style="180"/>
    <col min="8705" max="8705" width="0" style="180" hidden="1" customWidth="1"/>
    <col min="8706" max="8707" width="9.625" style="180" customWidth="1"/>
    <col min="8708" max="8717" width="7.625" style="180" customWidth="1"/>
    <col min="8718" max="8720" width="10.625" style="180" customWidth="1"/>
    <col min="8721" max="8960" width="9" style="180"/>
    <col min="8961" max="8961" width="0" style="180" hidden="1" customWidth="1"/>
    <col min="8962" max="8963" width="9.625" style="180" customWidth="1"/>
    <col min="8964" max="8973" width="7.625" style="180" customWidth="1"/>
    <col min="8974" max="8976" width="10.625" style="180" customWidth="1"/>
    <col min="8977" max="9216" width="9" style="180"/>
    <col min="9217" max="9217" width="0" style="180" hidden="1" customWidth="1"/>
    <col min="9218" max="9219" width="9.625" style="180" customWidth="1"/>
    <col min="9220" max="9229" width="7.625" style="180" customWidth="1"/>
    <col min="9230" max="9232" width="10.625" style="180" customWidth="1"/>
    <col min="9233" max="9472" width="9" style="180"/>
    <col min="9473" max="9473" width="0" style="180" hidden="1" customWidth="1"/>
    <col min="9474" max="9475" width="9.625" style="180" customWidth="1"/>
    <col min="9476" max="9485" width="7.625" style="180" customWidth="1"/>
    <col min="9486" max="9488" width="10.625" style="180" customWidth="1"/>
    <col min="9489" max="9728" width="9" style="180"/>
    <col min="9729" max="9729" width="0" style="180" hidden="1" customWidth="1"/>
    <col min="9730" max="9731" width="9.625" style="180" customWidth="1"/>
    <col min="9732" max="9741" width="7.625" style="180" customWidth="1"/>
    <col min="9742" max="9744" width="10.625" style="180" customWidth="1"/>
    <col min="9745" max="9984" width="9" style="180"/>
    <col min="9985" max="9985" width="0" style="180" hidden="1" customWidth="1"/>
    <col min="9986" max="9987" width="9.625" style="180" customWidth="1"/>
    <col min="9988" max="9997" width="7.625" style="180" customWidth="1"/>
    <col min="9998" max="10000" width="10.625" style="180" customWidth="1"/>
    <col min="10001" max="10240" width="9" style="180"/>
    <col min="10241" max="10241" width="0" style="180" hidden="1" customWidth="1"/>
    <col min="10242" max="10243" width="9.625" style="180" customWidth="1"/>
    <col min="10244" max="10253" width="7.625" style="180" customWidth="1"/>
    <col min="10254" max="10256" width="10.625" style="180" customWidth="1"/>
    <col min="10257" max="10496" width="9" style="180"/>
    <col min="10497" max="10497" width="0" style="180" hidden="1" customWidth="1"/>
    <col min="10498" max="10499" width="9.625" style="180" customWidth="1"/>
    <col min="10500" max="10509" width="7.625" style="180" customWidth="1"/>
    <col min="10510" max="10512" width="10.625" style="180" customWidth="1"/>
    <col min="10513" max="10752" width="9" style="180"/>
    <col min="10753" max="10753" width="0" style="180" hidden="1" customWidth="1"/>
    <col min="10754" max="10755" width="9.625" style="180" customWidth="1"/>
    <col min="10756" max="10765" width="7.625" style="180" customWidth="1"/>
    <col min="10766" max="10768" width="10.625" style="180" customWidth="1"/>
    <col min="10769" max="11008" width="9" style="180"/>
    <col min="11009" max="11009" width="0" style="180" hidden="1" customWidth="1"/>
    <col min="11010" max="11011" width="9.625" style="180" customWidth="1"/>
    <col min="11012" max="11021" width="7.625" style="180" customWidth="1"/>
    <col min="11022" max="11024" width="10.625" style="180" customWidth="1"/>
    <col min="11025" max="11264" width="9" style="180"/>
    <col min="11265" max="11265" width="0" style="180" hidden="1" customWidth="1"/>
    <col min="11266" max="11267" width="9.625" style="180" customWidth="1"/>
    <col min="11268" max="11277" width="7.625" style="180" customWidth="1"/>
    <col min="11278" max="11280" width="10.625" style="180" customWidth="1"/>
    <col min="11281" max="11520" width="9" style="180"/>
    <col min="11521" max="11521" width="0" style="180" hidden="1" customWidth="1"/>
    <col min="11522" max="11523" width="9.625" style="180" customWidth="1"/>
    <col min="11524" max="11533" width="7.625" style="180" customWidth="1"/>
    <col min="11534" max="11536" width="10.625" style="180" customWidth="1"/>
    <col min="11537" max="11776" width="9" style="180"/>
    <col min="11777" max="11777" width="0" style="180" hidden="1" customWidth="1"/>
    <col min="11778" max="11779" width="9.625" style="180" customWidth="1"/>
    <col min="11780" max="11789" width="7.625" style="180" customWidth="1"/>
    <col min="11790" max="11792" width="10.625" style="180" customWidth="1"/>
    <col min="11793" max="12032" width="9" style="180"/>
    <col min="12033" max="12033" width="0" style="180" hidden="1" customWidth="1"/>
    <col min="12034" max="12035" width="9.625" style="180" customWidth="1"/>
    <col min="12036" max="12045" width="7.625" style="180" customWidth="1"/>
    <col min="12046" max="12048" width="10.625" style="180" customWidth="1"/>
    <col min="12049" max="12288" width="9" style="180"/>
    <col min="12289" max="12289" width="0" style="180" hidden="1" customWidth="1"/>
    <col min="12290" max="12291" width="9.625" style="180" customWidth="1"/>
    <col min="12292" max="12301" width="7.625" style="180" customWidth="1"/>
    <col min="12302" max="12304" width="10.625" style="180" customWidth="1"/>
    <col min="12305" max="12544" width="9" style="180"/>
    <col min="12545" max="12545" width="0" style="180" hidden="1" customWidth="1"/>
    <col min="12546" max="12547" width="9.625" style="180" customWidth="1"/>
    <col min="12548" max="12557" width="7.625" style="180" customWidth="1"/>
    <col min="12558" max="12560" width="10.625" style="180" customWidth="1"/>
    <col min="12561" max="12800" width="9" style="180"/>
    <col min="12801" max="12801" width="0" style="180" hidden="1" customWidth="1"/>
    <col min="12802" max="12803" width="9.625" style="180" customWidth="1"/>
    <col min="12804" max="12813" width="7.625" style="180" customWidth="1"/>
    <col min="12814" max="12816" width="10.625" style="180" customWidth="1"/>
    <col min="12817" max="13056" width="9" style="180"/>
    <col min="13057" max="13057" width="0" style="180" hidden="1" customWidth="1"/>
    <col min="13058" max="13059" width="9.625" style="180" customWidth="1"/>
    <col min="13060" max="13069" width="7.625" style="180" customWidth="1"/>
    <col min="13070" max="13072" width="10.625" style="180" customWidth="1"/>
    <col min="13073" max="13312" width="9" style="180"/>
    <col min="13313" max="13313" width="0" style="180" hidden="1" customWidth="1"/>
    <col min="13314" max="13315" width="9.625" style="180" customWidth="1"/>
    <col min="13316" max="13325" width="7.625" style="180" customWidth="1"/>
    <col min="13326" max="13328" width="10.625" style="180" customWidth="1"/>
    <col min="13329" max="13568" width="9" style="180"/>
    <col min="13569" max="13569" width="0" style="180" hidden="1" customWidth="1"/>
    <col min="13570" max="13571" width="9.625" style="180" customWidth="1"/>
    <col min="13572" max="13581" width="7.625" style="180" customWidth="1"/>
    <col min="13582" max="13584" width="10.625" style="180" customWidth="1"/>
    <col min="13585" max="13824" width="9" style="180"/>
    <col min="13825" max="13825" width="0" style="180" hidden="1" customWidth="1"/>
    <col min="13826" max="13827" width="9.625" style="180" customWidth="1"/>
    <col min="13828" max="13837" width="7.625" style="180" customWidth="1"/>
    <col min="13838" max="13840" width="10.625" style="180" customWidth="1"/>
    <col min="13841" max="14080" width="9" style="180"/>
    <col min="14081" max="14081" width="0" style="180" hidden="1" customWidth="1"/>
    <col min="14082" max="14083" width="9.625" style="180" customWidth="1"/>
    <col min="14084" max="14093" width="7.625" style="180" customWidth="1"/>
    <col min="14094" max="14096" width="10.625" style="180" customWidth="1"/>
    <col min="14097" max="14336" width="9" style="180"/>
    <col min="14337" max="14337" width="0" style="180" hidden="1" customWidth="1"/>
    <col min="14338" max="14339" width="9.625" style="180" customWidth="1"/>
    <col min="14340" max="14349" width="7.625" style="180" customWidth="1"/>
    <col min="14350" max="14352" width="10.625" style="180" customWidth="1"/>
    <col min="14353" max="14592" width="9" style="180"/>
    <col min="14593" max="14593" width="0" style="180" hidden="1" customWidth="1"/>
    <col min="14594" max="14595" width="9.625" style="180" customWidth="1"/>
    <col min="14596" max="14605" width="7.625" style="180" customWidth="1"/>
    <col min="14606" max="14608" width="10.625" style="180" customWidth="1"/>
    <col min="14609" max="14848" width="9" style="180"/>
    <col min="14849" max="14849" width="0" style="180" hidden="1" customWidth="1"/>
    <col min="14850" max="14851" width="9.625" style="180" customWidth="1"/>
    <col min="14852" max="14861" width="7.625" style="180" customWidth="1"/>
    <col min="14862" max="14864" width="10.625" style="180" customWidth="1"/>
    <col min="14865" max="15104" width="9" style="180"/>
    <col min="15105" max="15105" width="0" style="180" hidden="1" customWidth="1"/>
    <col min="15106" max="15107" width="9.625" style="180" customWidth="1"/>
    <col min="15108" max="15117" width="7.625" style="180" customWidth="1"/>
    <col min="15118" max="15120" width="10.625" style="180" customWidth="1"/>
    <col min="15121" max="15360" width="9" style="180"/>
    <col min="15361" max="15361" width="0" style="180" hidden="1" customWidth="1"/>
    <col min="15362" max="15363" width="9.625" style="180" customWidth="1"/>
    <col min="15364" max="15373" width="7.625" style="180" customWidth="1"/>
    <col min="15374" max="15376" width="10.625" style="180" customWidth="1"/>
    <col min="15377" max="15616" width="9" style="180"/>
    <col min="15617" max="15617" width="0" style="180" hidden="1" customWidth="1"/>
    <col min="15618" max="15619" width="9.625" style="180" customWidth="1"/>
    <col min="15620" max="15629" width="7.625" style="180" customWidth="1"/>
    <col min="15630" max="15632" width="10.625" style="180" customWidth="1"/>
    <col min="15633" max="15872" width="9" style="180"/>
    <col min="15873" max="15873" width="0" style="180" hidden="1" customWidth="1"/>
    <col min="15874" max="15875" width="9.625" style="180" customWidth="1"/>
    <col min="15876" max="15885" width="7.625" style="180" customWidth="1"/>
    <col min="15886" max="15888" width="10.625" style="180" customWidth="1"/>
    <col min="15889" max="16128" width="9" style="180"/>
    <col min="16129" max="16129" width="0" style="180" hidden="1" customWidth="1"/>
    <col min="16130" max="16131" width="9.625" style="180" customWidth="1"/>
    <col min="16132" max="16141" width="7.625" style="180" customWidth="1"/>
    <col min="16142" max="16144" width="10.625" style="180" customWidth="1"/>
    <col min="16145" max="16384" width="9" style="180"/>
  </cols>
  <sheetData>
    <row r="1" spans="1:21" ht="18" thickBot="1">
      <c r="A1" s="176"/>
      <c r="B1" s="176"/>
      <c r="C1" s="177"/>
      <c r="D1" s="178"/>
      <c r="E1" s="178"/>
      <c r="F1" s="179" t="s">
        <v>167</v>
      </c>
      <c r="G1" s="178"/>
      <c r="J1" s="178"/>
      <c r="K1" s="181" t="s">
        <v>168</v>
      </c>
      <c r="L1" s="182" t="e">
        <f>#REF!</f>
        <v>#REF!</v>
      </c>
      <c r="M1" s="182"/>
      <c r="N1" s="183"/>
      <c r="O1" s="184"/>
      <c r="P1" s="184"/>
      <c r="Q1" s="178"/>
      <c r="R1" s="185"/>
      <c r="S1" s="185"/>
      <c r="T1" s="186"/>
      <c r="U1" s="178"/>
    </row>
    <row r="2" spans="1:21" ht="27.2" customHeight="1">
      <c r="A2" s="187"/>
      <c r="B2" s="792" t="s">
        <v>169</v>
      </c>
      <c r="C2" s="794" t="s">
        <v>170</v>
      </c>
      <c r="D2" s="796" t="s">
        <v>171</v>
      </c>
      <c r="E2" s="797"/>
      <c r="F2" s="797"/>
      <c r="G2" s="797"/>
      <c r="H2" s="797"/>
      <c r="I2" s="797"/>
      <c r="J2" s="798"/>
      <c r="K2" s="188" t="s">
        <v>172</v>
      </c>
      <c r="L2" s="189" t="s">
        <v>173</v>
      </c>
      <c r="M2" s="799" t="s">
        <v>174</v>
      </c>
      <c r="N2" s="188" t="s">
        <v>175</v>
      </c>
      <c r="O2" s="190" t="s">
        <v>176</v>
      </c>
      <c r="P2" s="191" t="s">
        <v>177</v>
      </c>
      <c r="R2" s="64" t="s">
        <v>83</v>
      </c>
      <c r="S2" s="192" t="s">
        <v>73</v>
      </c>
    </row>
    <row r="3" spans="1:21" ht="27.75" thickBot="1">
      <c r="A3" s="194" t="s">
        <v>178</v>
      </c>
      <c r="B3" s="793"/>
      <c r="C3" s="795"/>
      <c r="D3" s="195"/>
      <c r="E3" s="196"/>
      <c r="F3" s="196"/>
      <c r="G3" s="196"/>
      <c r="H3" s="196"/>
      <c r="I3" s="196"/>
      <c r="J3" s="196"/>
      <c r="K3" s="197" t="s">
        <v>179</v>
      </c>
      <c r="L3" s="198" t="s">
        <v>180</v>
      </c>
      <c r="M3" s="800"/>
      <c r="N3" s="199" t="s">
        <v>181</v>
      </c>
      <c r="O3" s="200" t="s">
        <v>182</v>
      </c>
      <c r="P3" s="201" t="s">
        <v>183</v>
      </c>
      <c r="R3" s="202"/>
      <c r="S3" s="203" t="s">
        <v>88</v>
      </c>
    </row>
    <row r="4" spans="1:21">
      <c r="A4" s="187" t="s">
        <v>184</v>
      </c>
      <c r="B4" s="204" t="s">
        <v>185</v>
      </c>
      <c r="C4" s="205">
        <v>1.2</v>
      </c>
      <c r="D4" s="206"/>
      <c r="E4" s="206"/>
      <c r="F4" s="206"/>
      <c r="G4" s="206"/>
      <c r="H4" s="207"/>
      <c r="I4" s="207"/>
      <c r="J4" s="207"/>
      <c r="K4" s="208">
        <v>1.7000000000000001E-2</v>
      </c>
      <c r="L4" s="209">
        <f>1.2*1.2*3.14/4*8.96/1000</f>
        <v>1.0128384000000002E-2</v>
      </c>
      <c r="M4" s="210">
        <f t="shared" ref="M4:M18" si="0">SUM(D4:J4)</f>
        <v>0</v>
      </c>
      <c r="N4" s="211">
        <f t="shared" ref="N4:N18" si="1">K4*M4</f>
        <v>0</v>
      </c>
      <c r="O4" s="212">
        <f t="shared" ref="O4:O18" si="2">L4*M4</f>
        <v>0</v>
      </c>
      <c r="P4" s="213">
        <f>N4-O4</f>
        <v>0</v>
      </c>
      <c r="R4" s="214">
        <v>6.1543999999999999E-6</v>
      </c>
      <c r="S4" s="215"/>
    </row>
    <row r="5" spans="1:21">
      <c r="A5" s="216" t="s">
        <v>186</v>
      </c>
      <c r="B5" s="217" t="s">
        <v>187</v>
      </c>
      <c r="C5" s="218" t="s">
        <v>188</v>
      </c>
      <c r="D5" s="219"/>
      <c r="E5" s="219"/>
      <c r="F5" s="219"/>
      <c r="G5" s="219"/>
      <c r="H5" s="220"/>
      <c r="I5" s="220"/>
      <c r="J5" s="220"/>
      <c r="K5" s="221">
        <v>2.7E-2</v>
      </c>
      <c r="L5" s="222">
        <v>1.7999999999999999E-2</v>
      </c>
      <c r="M5" s="223">
        <f t="shared" si="0"/>
        <v>0</v>
      </c>
      <c r="N5" s="224">
        <f t="shared" si="1"/>
        <v>0</v>
      </c>
      <c r="O5" s="225">
        <f t="shared" si="2"/>
        <v>0</v>
      </c>
      <c r="P5" s="226">
        <f t="shared" ref="P5:P25" si="3">N5-O5</f>
        <v>0</v>
      </c>
      <c r="R5" s="227">
        <v>8.0384000000000008E-6</v>
      </c>
      <c r="S5" s="228">
        <f t="shared" ref="S5:S14" si="4">M5*R5</f>
        <v>0</v>
      </c>
    </row>
    <row r="6" spans="1:21">
      <c r="A6" s="216" t="s">
        <v>189</v>
      </c>
      <c r="B6" s="217" t="s">
        <v>187</v>
      </c>
      <c r="C6" s="218" t="s">
        <v>190</v>
      </c>
      <c r="D6" s="219"/>
      <c r="E6" s="219"/>
      <c r="F6" s="219"/>
      <c r="G6" s="219"/>
      <c r="H6" s="220"/>
      <c r="I6" s="220"/>
      <c r="J6" s="220"/>
      <c r="K6" s="221">
        <v>3.7999999999999999E-2</v>
      </c>
      <c r="L6" s="222">
        <v>2.8000000000000001E-2</v>
      </c>
      <c r="M6" s="223">
        <f t="shared" si="0"/>
        <v>0</v>
      </c>
      <c r="N6" s="224">
        <f t="shared" si="1"/>
        <v>0</v>
      </c>
      <c r="O6" s="225">
        <f t="shared" si="2"/>
        <v>0</v>
      </c>
      <c r="P6" s="226">
        <f t="shared" si="3"/>
        <v>0</v>
      </c>
      <c r="R6" s="227">
        <v>1.01736E-5</v>
      </c>
      <c r="S6" s="228">
        <f t="shared" si="4"/>
        <v>0</v>
      </c>
    </row>
    <row r="7" spans="1:21">
      <c r="A7" s="216" t="s">
        <v>189</v>
      </c>
      <c r="B7" s="217" t="s">
        <v>187</v>
      </c>
      <c r="C7" s="218" t="s">
        <v>191</v>
      </c>
      <c r="D7" s="219"/>
      <c r="E7" s="219"/>
      <c r="F7" s="219"/>
      <c r="G7" s="219"/>
      <c r="H7" s="220"/>
      <c r="I7" s="220"/>
      <c r="J7" s="220"/>
      <c r="K7" s="221">
        <v>6.5000000000000002E-2</v>
      </c>
      <c r="L7" s="222">
        <v>4.7300000000000002E-2</v>
      </c>
      <c r="M7" s="223">
        <f t="shared" si="0"/>
        <v>0</v>
      </c>
      <c r="N7" s="224">
        <f t="shared" si="1"/>
        <v>0</v>
      </c>
      <c r="O7" s="225">
        <f t="shared" si="2"/>
        <v>0</v>
      </c>
      <c r="P7" s="226">
        <f t="shared" si="3"/>
        <v>0</v>
      </c>
      <c r="R7" s="227">
        <v>1.66106E-5</v>
      </c>
      <c r="S7" s="228">
        <f t="shared" si="4"/>
        <v>0</v>
      </c>
    </row>
    <row r="8" spans="1:21">
      <c r="A8" s="216" t="s">
        <v>189</v>
      </c>
      <c r="B8" s="217" t="s">
        <v>187</v>
      </c>
      <c r="C8" s="218">
        <v>8</v>
      </c>
      <c r="D8" s="219"/>
      <c r="E8" s="219"/>
      <c r="F8" s="219"/>
      <c r="G8" s="219"/>
      <c r="H8" s="220"/>
      <c r="I8" s="220"/>
      <c r="J8" s="220"/>
      <c r="K8" s="221">
        <v>0.105</v>
      </c>
      <c r="L8" s="222">
        <v>7.17E-2</v>
      </c>
      <c r="M8" s="223">
        <f t="shared" si="0"/>
        <v>0</v>
      </c>
      <c r="N8" s="224">
        <f t="shared" si="1"/>
        <v>0</v>
      </c>
      <c r="O8" s="225">
        <f t="shared" si="2"/>
        <v>0</v>
      </c>
      <c r="P8" s="226">
        <f t="shared" si="3"/>
        <v>0</v>
      </c>
      <c r="R8" s="227">
        <v>2.826E-5</v>
      </c>
      <c r="S8" s="228">
        <f t="shared" si="4"/>
        <v>0</v>
      </c>
    </row>
    <row r="9" spans="1:21">
      <c r="A9" s="216" t="s">
        <v>189</v>
      </c>
      <c r="B9" s="217" t="s">
        <v>187</v>
      </c>
      <c r="C9" s="218">
        <v>14</v>
      </c>
      <c r="D9" s="219"/>
      <c r="E9" s="219"/>
      <c r="F9" s="219"/>
      <c r="G9" s="219"/>
      <c r="H9" s="220"/>
      <c r="I9" s="220"/>
      <c r="J9" s="220"/>
      <c r="K9" s="221">
        <v>0.17499999999999999</v>
      </c>
      <c r="L9" s="222">
        <v>0.12770000000000001</v>
      </c>
      <c r="M9" s="223">
        <f t="shared" si="0"/>
        <v>0</v>
      </c>
      <c r="N9" s="224">
        <f t="shared" si="1"/>
        <v>0</v>
      </c>
      <c r="O9" s="225">
        <f t="shared" si="2"/>
        <v>0</v>
      </c>
      <c r="P9" s="226">
        <f t="shared" si="3"/>
        <v>0</v>
      </c>
      <c r="R9" s="227">
        <v>4.5341600000000006E-5</v>
      </c>
      <c r="S9" s="228">
        <f t="shared" si="4"/>
        <v>0</v>
      </c>
    </row>
    <row r="10" spans="1:21">
      <c r="A10" s="216" t="s">
        <v>189</v>
      </c>
      <c r="B10" s="217" t="s">
        <v>187</v>
      </c>
      <c r="C10" s="218">
        <v>22</v>
      </c>
      <c r="D10" s="219"/>
      <c r="E10" s="219"/>
      <c r="F10" s="219"/>
      <c r="G10" s="219"/>
      <c r="H10" s="220"/>
      <c r="I10" s="220"/>
      <c r="J10" s="220"/>
      <c r="K10" s="221">
        <v>0.26500000000000001</v>
      </c>
      <c r="L10" s="222">
        <v>0.19950000000000001</v>
      </c>
      <c r="M10" s="223">
        <f t="shared" si="0"/>
        <v>0</v>
      </c>
      <c r="N10" s="224">
        <f t="shared" si="1"/>
        <v>0</v>
      </c>
      <c r="O10" s="225">
        <f t="shared" si="2"/>
        <v>0</v>
      </c>
      <c r="P10" s="226">
        <f t="shared" si="3"/>
        <v>0</v>
      </c>
      <c r="R10" s="227">
        <v>6.6442399999999999E-5</v>
      </c>
      <c r="S10" s="228">
        <f t="shared" si="4"/>
        <v>0</v>
      </c>
    </row>
    <row r="11" spans="1:21">
      <c r="A11" s="216" t="s">
        <v>189</v>
      </c>
      <c r="B11" s="217" t="s">
        <v>187</v>
      </c>
      <c r="C11" s="218">
        <v>38</v>
      </c>
      <c r="D11" s="219"/>
      <c r="E11" s="219"/>
      <c r="F11" s="219"/>
      <c r="G11" s="219"/>
      <c r="H11" s="220"/>
      <c r="I11" s="220"/>
      <c r="J11" s="220"/>
      <c r="K11" s="221">
        <v>0.43</v>
      </c>
      <c r="L11" s="222">
        <v>0.33700000000000002</v>
      </c>
      <c r="M11" s="223">
        <f t="shared" si="0"/>
        <v>0</v>
      </c>
      <c r="N11" s="224">
        <f t="shared" si="1"/>
        <v>0</v>
      </c>
      <c r="O11" s="225">
        <f t="shared" si="2"/>
        <v>0</v>
      </c>
      <c r="P11" s="226">
        <f t="shared" si="3"/>
        <v>0</v>
      </c>
      <c r="R11" s="227">
        <v>1.0381625E-4</v>
      </c>
      <c r="S11" s="228">
        <f t="shared" si="4"/>
        <v>0</v>
      </c>
    </row>
    <row r="12" spans="1:21">
      <c r="A12" s="216" t="s">
        <v>189</v>
      </c>
      <c r="B12" s="217" t="s">
        <v>187</v>
      </c>
      <c r="C12" s="218">
        <v>50</v>
      </c>
      <c r="D12" s="219"/>
      <c r="E12" s="219"/>
      <c r="F12" s="219"/>
      <c r="G12" s="219"/>
      <c r="H12" s="220"/>
      <c r="I12" s="220"/>
      <c r="J12" s="220"/>
      <c r="K12" s="221">
        <v>0.55000000000000004</v>
      </c>
      <c r="L12" s="222">
        <f>50/1000000*8.9*1000</f>
        <v>0.44500000000000001</v>
      </c>
      <c r="M12" s="223">
        <f t="shared" si="0"/>
        <v>0</v>
      </c>
      <c r="N12" s="224">
        <f t="shared" si="1"/>
        <v>0</v>
      </c>
      <c r="O12" s="225">
        <f t="shared" si="2"/>
        <v>0</v>
      </c>
      <c r="P12" s="226">
        <f t="shared" si="3"/>
        <v>0</v>
      </c>
      <c r="R12" s="227"/>
      <c r="S12" s="228"/>
    </row>
    <row r="13" spans="1:21">
      <c r="A13" s="216" t="s">
        <v>189</v>
      </c>
      <c r="B13" s="217" t="s">
        <v>187</v>
      </c>
      <c r="C13" s="221">
        <v>60</v>
      </c>
      <c r="D13" s="220"/>
      <c r="E13" s="220"/>
      <c r="F13" s="220"/>
      <c r="G13" s="220"/>
      <c r="H13" s="220"/>
      <c r="I13" s="220"/>
      <c r="J13" s="220"/>
      <c r="K13" s="221">
        <v>0.65</v>
      </c>
      <c r="L13" s="222">
        <v>0.54</v>
      </c>
      <c r="M13" s="223">
        <f t="shared" si="0"/>
        <v>0</v>
      </c>
      <c r="N13" s="224">
        <f t="shared" si="1"/>
        <v>0</v>
      </c>
      <c r="O13" s="225">
        <f t="shared" si="2"/>
        <v>0</v>
      </c>
      <c r="P13" s="226">
        <f t="shared" si="3"/>
        <v>0</v>
      </c>
      <c r="R13" s="229">
        <v>1.5386000000000002E-4</v>
      </c>
      <c r="S13" s="230">
        <f t="shared" si="4"/>
        <v>0</v>
      </c>
    </row>
    <row r="14" spans="1:21">
      <c r="A14" s="216" t="s">
        <v>189</v>
      </c>
      <c r="B14" s="217" t="s">
        <v>187</v>
      </c>
      <c r="C14" s="221">
        <v>100</v>
      </c>
      <c r="D14" s="220"/>
      <c r="E14" s="220"/>
      <c r="F14" s="220"/>
      <c r="G14" s="220"/>
      <c r="H14" s="220"/>
      <c r="I14" s="220"/>
      <c r="J14" s="220"/>
      <c r="K14" s="221">
        <v>1.08</v>
      </c>
      <c r="L14" s="222">
        <v>0.9133</v>
      </c>
      <c r="M14" s="223">
        <f t="shared" si="0"/>
        <v>0</v>
      </c>
      <c r="N14" s="224">
        <f t="shared" si="1"/>
        <v>0</v>
      </c>
      <c r="O14" s="225">
        <f t="shared" si="2"/>
        <v>0</v>
      </c>
      <c r="P14" s="226">
        <f t="shared" si="3"/>
        <v>0</v>
      </c>
      <c r="R14" s="227">
        <v>2.2686500000000003E-4</v>
      </c>
      <c r="S14" s="231">
        <f t="shared" si="4"/>
        <v>0</v>
      </c>
    </row>
    <row r="15" spans="1:21">
      <c r="A15" s="216" t="s">
        <v>189</v>
      </c>
      <c r="B15" s="217" t="s">
        <v>187</v>
      </c>
      <c r="C15" s="221">
        <v>150</v>
      </c>
      <c r="D15" s="220"/>
      <c r="E15" s="220"/>
      <c r="F15" s="220"/>
      <c r="G15" s="220"/>
      <c r="H15" s="220"/>
      <c r="I15" s="220"/>
      <c r="J15" s="220"/>
      <c r="K15" s="221">
        <v>1.61</v>
      </c>
      <c r="L15" s="222">
        <v>1.3933</v>
      </c>
      <c r="M15" s="223">
        <f t="shared" si="0"/>
        <v>0</v>
      </c>
      <c r="N15" s="224">
        <f t="shared" si="1"/>
        <v>0</v>
      </c>
      <c r="O15" s="225">
        <f t="shared" si="2"/>
        <v>0</v>
      </c>
      <c r="P15" s="226">
        <f t="shared" si="3"/>
        <v>0</v>
      </c>
      <c r="R15" s="227">
        <v>3.4618500000000005E-4</v>
      </c>
      <c r="S15" s="231"/>
    </row>
    <row r="16" spans="1:21">
      <c r="A16" s="216" t="s">
        <v>189</v>
      </c>
      <c r="B16" s="217" t="s">
        <v>187</v>
      </c>
      <c r="C16" s="221">
        <v>200</v>
      </c>
      <c r="D16" s="220"/>
      <c r="E16" s="220"/>
      <c r="F16" s="220"/>
      <c r="G16" s="220"/>
      <c r="H16" s="220"/>
      <c r="I16" s="220"/>
      <c r="J16" s="220"/>
      <c r="K16" s="221">
        <v>2.04</v>
      </c>
      <c r="L16" s="222">
        <v>1.78</v>
      </c>
      <c r="M16" s="223">
        <f t="shared" si="0"/>
        <v>0</v>
      </c>
      <c r="N16" s="224">
        <f t="shared" si="1"/>
        <v>0</v>
      </c>
      <c r="O16" s="225">
        <f t="shared" si="2"/>
        <v>0</v>
      </c>
      <c r="P16" s="226">
        <f t="shared" si="3"/>
        <v>0</v>
      </c>
      <c r="R16" s="227">
        <v>4.15265E-4</v>
      </c>
      <c r="S16" s="231"/>
    </row>
    <row r="17" spans="1:19">
      <c r="A17" s="216" t="s">
        <v>189</v>
      </c>
      <c r="B17" s="217" t="s">
        <v>187</v>
      </c>
      <c r="C17" s="221">
        <v>250</v>
      </c>
      <c r="D17" s="220"/>
      <c r="E17" s="220"/>
      <c r="F17" s="220"/>
      <c r="G17" s="220"/>
      <c r="H17" s="220"/>
      <c r="I17" s="220"/>
      <c r="J17" s="220"/>
      <c r="K17" s="221">
        <v>2.61</v>
      </c>
      <c r="L17" s="222">
        <v>2.3199999999999998</v>
      </c>
      <c r="M17" s="223">
        <f t="shared" si="0"/>
        <v>0</v>
      </c>
      <c r="N17" s="224">
        <f t="shared" si="1"/>
        <v>0</v>
      </c>
      <c r="O17" s="225">
        <f t="shared" si="2"/>
        <v>0</v>
      </c>
      <c r="P17" s="226">
        <f t="shared" si="3"/>
        <v>0</v>
      </c>
      <c r="R17" s="227">
        <v>5.3065999999999996E-4</v>
      </c>
      <c r="S17" s="231"/>
    </row>
    <row r="18" spans="1:19">
      <c r="A18" s="216" t="s">
        <v>189</v>
      </c>
      <c r="B18" s="232" t="s">
        <v>187</v>
      </c>
      <c r="C18" s="233">
        <v>325</v>
      </c>
      <c r="D18" s="234"/>
      <c r="E18" s="234"/>
      <c r="F18" s="234"/>
      <c r="G18" s="234"/>
      <c r="H18" s="234"/>
      <c r="I18" s="234"/>
      <c r="J18" s="234"/>
      <c r="K18" s="233">
        <v>3.32</v>
      </c>
      <c r="L18" s="235">
        <v>2.9649999999999999</v>
      </c>
      <c r="M18" s="236">
        <f t="shared" si="0"/>
        <v>0</v>
      </c>
      <c r="N18" s="237">
        <f t="shared" si="1"/>
        <v>0</v>
      </c>
      <c r="O18" s="238">
        <f t="shared" si="2"/>
        <v>0</v>
      </c>
      <c r="P18" s="239">
        <f t="shared" si="3"/>
        <v>0</v>
      </c>
      <c r="R18" s="227">
        <v>6.6018500000000009E-4</v>
      </c>
      <c r="S18" s="231"/>
    </row>
    <row r="19" spans="1:19">
      <c r="A19" s="216" t="s">
        <v>189</v>
      </c>
      <c r="B19" s="240"/>
      <c r="C19" s="241"/>
      <c r="D19" s="241"/>
      <c r="E19" s="241"/>
      <c r="F19" s="241"/>
      <c r="G19" s="241"/>
      <c r="H19" s="241"/>
      <c r="I19" s="241"/>
      <c r="J19" s="241"/>
      <c r="K19" s="241"/>
      <c r="L19" s="242"/>
      <c r="M19" s="243"/>
      <c r="N19" s="244"/>
      <c r="O19" s="245"/>
      <c r="P19" s="246"/>
      <c r="R19" s="227"/>
      <c r="S19" s="231"/>
    </row>
    <row r="20" spans="1:19">
      <c r="A20" s="216" t="s">
        <v>189</v>
      </c>
      <c r="B20" s="247" t="s">
        <v>192</v>
      </c>
      <c r="C20" s="248">
        <v>1.6</v>
      </c>
      <c r="D20" s="249"/>
      <c r="E20" s="249"/>
      <c r="F20" s="249"/>
      <c r="G20" s="249"/>
      <c r="H20" s="250"/>
      <c r="I20" s="250" t="s">
        <v>193</v>
      </c>
      <c r="J20" s="250"/>
      <c r="K20" s="251">
        <v>0.1</v>
      </c>
      <c r="L20" s="252">
        <v>3.5999999999999997E-2</v>
      </c>
      <c r="M20" s="253">
        <f t="shared" ref="M20:M25" si="5">SUM(D20:J20)</f>
        <v>0</v>
      </c>
      <c r="N20" s="254">
        <f t="shared" ref="N20:N25" si="6">K20*M20</f>
        <v>0</v>
      </c>
      <c r="O20" s="255">
        <f t="shared" ref="O20:O25" si="7">L20*M20</f>
        <v>0</v>
      </c>
      <c r="P20" s="226">
        <f t="shared" si="3"/>
        <v>0</v>
      </c>
      <c r="R20" s="227">
        <v>5.8279999999999998E-5</v>
      </c>
      <c r="S20" s="231">
        <f t="shared" ref="S20:S24" si="8">M20*R20</f>
        <v>0</v>
      </c>
    </row>
    <row r="21" spans="1:19">
      <c r="A21" s="216" t="s">
        <v>189</v>
      </c>
      <c r="B21" s="256" t="s">
        <v>187</v>
      </c>
      <c r="C21" s="218">
        <v>2</v>
      </c>
      <c r="D21" s="219"/>
      <c r="E21" s="219"/>
      <c r="F21" s="219"/>
      <c r="G21" s="219"/>
      <c r="H21" s="220"/>
      <c r="I21" s="220" t="s">
        <v>193</v>
      </c>
      <c r="J21" s="220"/>
      <c r="K21" s="221">
        <v>0.13</v>
      </c>
      <c r="L21" s="222">
        <v>5.6000000000000001E-2</v>
      </c>
      <c r="M21" s="223">
        <f t="shared" si="5"/>
        <v>0</v>
      </c>
      <c r="N21" s="224">
        <f t="shared" si="6"/>
        <v>0</v>
      </c>
      <c r="O21" s="225">
        <f t="shared" si="7"/>
        <v>0</v>
      </c>
      <c r="P21" s="226">
        <f t="shared" si="3"/>
        <v>0</v>
      </c>
      <c r="R21" s="227">
        <v>6.9300000000000004E-5</v>
      </c>
      <c r="S21" s="231"/>
    </row>
    <row r="22" spans="1:19">
      <c r="A22" s="216" t="s">
        <v>189</v>
      </c>
      <c r="B22" s="256" t="s">
        <v>187</v>
      </c>
      <c r="C22" s="218">
        <v>2.6</v>
      </c>
      <c r="D22" s="219"/>
      <c r="E22" s="219"/>
      <c r="F22" s="219"/>
      <c r="G22" s="219"/>
      <c r="H22" s="220"/>
      <c r="I22" s="220" t="s">
        <v>193</v>
      </c>
      <c r="J22" s="220"/>
      <c r="K22" s="221">
        <v>0.19500000000000001</v>
      </c>
      <c r="L22" s="222">
        <v>9.4E-2</v>
      </c>
      <c r="M22" s="223">
        <f t="shared" si="5"/>
        <v>0</v>
      </c>
      <c r="N22" s="224">
        <f t="shared" si="6"/>
        <v>0</v>
      </c>
      <c r="O22" s="225">
        <f t="shared" si="7"/>
        <v>0</v>
      </c>
      <c r="P22" s="226">
        <f t="shared" si="3"/>
        <v>0</v>
      </c>
      <c r="R22" s="227">
        <v>9.5000000000000005E-5</v>
      </c>
      <c r="S22" s="231"/>
    </row>
    <row r="23" spans="1:19">
      <c r="A23" s="216" t="s">
        <v>189</v>
      </c>
      <c r="B23" s="256" t="s">
        <v>194</v>
      </c>
      <c r="C23" s="218">
        <v>1.6</v>
      </c>
      <c r="D23" s="219"/>
      <c r="E23" s="219"/>
      <c r="F23" s="219"/>
      <c r="G23" s="219"/>
      <c r="H23" s="220"/>
      <c r="I23" s="220" t="s">
        <v>193</v>
      </c>
      <c r="J23" s="220"/>
      <c r="K23" s="221">
        <v>0.14499999999999999</v>
      </c>
      <c r="L23" s="222">
        <v>5.3999999999999999E-2</v>
      </c>
      <c r="M23" s="223">
        <f t="shared" si="5"/>
        <v>0</v>
      </c>
      <c r="N23" s="224">
        <f t="shared" si="6"/>
        <v>0</v>
      </c>
      <c r="O23" s="225">
        <f t="shared" si="7"/>
        <v>0</v>
      </c>
      <c r="P23" s="226">
        <f t="shared" si="3"/>
        <v>0</v>
      </c>
      <c r="R23" s="227">
        <v>8.0599999999999994E-5</v>
      </c>
      <c r="S23" s="231"/>
    </row>
    <row r="24" spans="1:19">
      <c r="A24" s="216" t="s">
        <v>189</v>
      </c>
      <c r="B24" s="256" t="s">
        <v>187</v>
      </c>
      <c r="C24" s="218">
        <v>2</v>
      </c>
      <c r="D24" s="219"/>
      <c r="E24" s="219"/>
      <c r="F24" s="219"/>
      <c r="G24" s="219"/>
      <c r="H24" s="220"/>
      <c r="I24" s="220" t="s">
        <v>193</v>
      </c>
      <c r="J24" s="220"/>
      <c r="K24" s="221">
        <v>0.185</v>
      </c>
      <c r="L24" s="222">
        <v>8.4000000000000005E-2</v>
      </c>
      <c r="M24" s="223">
        <f t="shared" si="5"/>
        <v>0</v>
      </c>
      <c r="N24" s="224">
        <f t="shared" si="6"/>
        <v>0</v>
      </c>
      <c r="O24" s="225">
        <f t="shared" si="7"/>
        <v>0</v>
      </c>
      <c r="P24" s="226">
        <f t="shared" si="3"/>
        <v>0</v>
      </c>
      <c r="R24" s="227">
        <v>9.2399999999999996E-5</v>
      </c>
      <c r="S24" s="231">
        <f t="shared" si="8"/>
        <v>0</v>
      </c>
    </row>
    <row r="25" spans="1:19">
      <c r="A25" s="216" t="s">
        <v>189</v>
      </c>
      <c r="B25" s="257" t="s">
        <v>187</v>
      </c>
      <c r="C25" s="258">
        <v>2.6</v>
      </c>
      <c r="D25" s="259"/>
      <c r="E25" s="259"/>
      <c r="F25" s="259"/>
      <c r="G25" s="259"/>
      <c r="H25" s="234"/>
      <c r="I25" s="234" t="s">
        <v>193</v>
      </c>
      <c r="J25" s="234"/>
      <c r="K25" s="233">
        <v>0.28000000000000003</v>
      </c>
      <c r="L25" s="235">
        <v>0.14199999999999999</v>
      </c>
      <c r="M25" s="236">
        <f t="shared" si="5"/>
        <v>0</v>
      </c>
      <c r="N25" s="237">
        <f t="shared" si="6"/>
        <v>0</v>
      </c>
      <c r="O25" s="238">
        <f t="shared" si="7"/>
        <v>0</v>
      </c>
      <c r="P25" s="226">
        <f t="shared" si="3"/>
        <v>0</v>
      </c>
      <c r="R25" s="227">
        <v>1.292E-4</v>
      </c>
      <c r="S25" s="231"/>
    </row>
    <row r="26" spans="1:19">
      <c r="A26" s="216" t="s">
        <v>189</v>
      </c>
      <c r="B26" s="240"/>
      <c r="C26" s="241"/>
      <c r="D26" s="241"/>
      <c r="E26" s="241"/>
      <c r="F26" s="241"/>
      <c r="G26" s="241"/>
      <c r="H26" s="241" t="s">
        <v>193</v>
      </c>
      <c r="I26" s="241"/>
      <c r="J26" s="241"/>
      <c r="K26" s="241"/>
      <c r="L26" s="242"/>
      <c r="M26" s="243"/>
      <c r="N26" s="244"/>
      <c r="O26" s="245"/>
      <c r="P26" s="246"/>
      <c r="R26" s="227"/>
      <c r="S26" s="231"/>
    </row>
    <row r="27" spans="1:19">
      <c r="A27" s="216" t="s">
        <v>189</v>
      </c>
      <c r="B27" s="247" t="s">
        <v>195</v>
      </c>
      <c r="C27" s="260">
        <v>2.6</v>
      </c>
      <c r="D27" s="261"/>
      <c r="E27" s="261"/>
      <c r="F27" s="261"/>
      <c r="G27" s="261"/>
      <c r="H27" s="250"/>
      <c r="I27" s="250"/>
      <c r="J27" s="250"/>
      <c r="K27" s="251">
        <v>0.125</v>
      </c>
      <c r="L27" s="252">
        <v>9.6500000000000002E-2</v>
      </c>
      <c r="M27" s="253">
        <f t="shared" ref="M27:M37" si="9">SUM(D27:J27)</f>
        <v>0</v>
      </c>
      <c r="N27" s="262">
        <f t="shared" ref="N27:N37" si="10">K27*M27</f>
        <v>0</v>
      </c>
      <c r="O27" s="263">
        <f t="shared" ref="O27:O37" si="11">L27*M27</f>
        <v>0</v>
      </c>
      <c r="P27" s="226">
        <f t="shared" ref="P27:P37" si="12">N27-O27</f>
        <v>0</v>
      </c>
      <c r="R27" s="227"/>
      <c r="S27" s="231"/>
    </row>
    <row r="28" spans="1:19">
      <c r="A28" s="216"/>
      <c r="B28" s="264"/>
      <c r="C28" s="218">
        <v>8</v>
      </c>
      <c r="D28" s="265"/>
      <c r="E28" s="265"/>
      <c r="F28" s="265"/>
      <c r="G28" s="265"/>
      <c r="H28" s="266"/>
      <c r="I28" s="266"/>
      <c r="J28" s="266"/>
      <c r="K28" s="267">
        <v>0.20499999999999999</v>
      </c>
      <c r="L28" s="268">
        <v>0.1434</v>
      </c>
      <c r="M28" s="223">
        <f t="shared" si="9"/>
        <v>0</v>
      </c>
      <c r="N28" s="224">
        <f t="shared" si="10"/>
        <v>0</v>
      </c>
      <c r="O28" s="269">
        <f t="shared" si="11"/>
        <v>0</v>
      </c>
      <c r="P28" s="226">
        <f t="shared" si="12"/>
        <v>0</v>
      </c>
      <c r="R28" s="227"/>
      <c r="S28" s="231"/>
    </row>
    <row r="29" spans="1:19">
      <c r="A29" s="216" t="s">
        <v>189</v>
      </c>
      <c r="B29" s="256" t="s">
        <v>187</v>
      </c>
      <c r="C29" s="270">
        <v>14</v>
      </c>
      <c r="D29" s="271"/>
      <c r="E29" s="271"/>
      <c r="F29" s="271"/>
      <c r="G29" s="271"/>
      <c r="H29" s="220"/>
      <c r="I29" s="220"/>
      <c r="J29" s="220"/>
      <c r="K29" s="221">
        <v>0.34</v>
      </c>
      <c r="L29" s="222">
        <v>0.25900000000000001</v>
      </c>
      <c r="M29" s="223">
        <f t="shared" si="9"/>
        <v>0</v>
      </c>
      <c r="N29" s="224">
        <f t="shared" si="10"/>
        <v>0</v>
      </c>
      <c r="O29" s="269">
        <f t="shared" si="11"/>
        <v>0</v>
      </c>
      <c r="P29" s="226">
        <f t="shared" si="12"/>
        <v>0</v>
      </c>
      <c r="R29" s="227"/>
      <c r="S29" s="231"/>
    </row>
    <row r="30" spans="1:19">
      <c r="A30" s="216" t="s">
        <v>189</v>
      </c>
      <c r="B30" s="256" t="s">
        <v>187</v>
      </c>
      <c r="C30" s="270">
        <v>22</v>
      </c>
      <c r="D30" s="271"/>
      <c r="E30" s="271"/>
      <c r="F30" s="271"/>
      <c r="G30" s="271"/>
      <c r="H30" s="220"/>
      <c r="I30" s="220"/>
      <c r="J30" s="220"/>
      <c r="K30" s="221">
        <v>0.52500000000000002</v>
      </c>
      <c r="L30" s="222">
        <v>0.40670000000000001</v>
      </c>
      <c r="M30" s="223">
        <f t="shared" si="9"/>
        <v>0</v>
      </c>
      <c r="N30" s="224">
        <f t="shared" si="10"/>
        <v>0</v>
      </c>
      <c r="O30" s="269">
        <f t="shared" si="11"/>
        <v>0</v>
      </c>
      <c r="P30" s="226">
        <f t="shared" si="12"/>
        <v>0</v>
      </c>
      <c r="R30" s="227"/>
      <c r="S30" s="231"/>
    </row>
    <row r="31" spans="1:19">
      <c r="A31" s="216" t="s">
        <v>189</v>
      </c>
      <c r="B31" s="256" t="s">
        <v>187</v>
      </c>
      <c r="C31" s="270">
        <v>38</v>
      </c>
      <c r="D31" s="271"/>
      <c r="E31" s="271"/>
      <c r="F31" s="271"/>
      <c r="G31" s="271"/>
      <c r="H31" s="220"/>
      <c r="I31" s="220"/>
      <c r="J31" s="220"/>
      <c r="K31" s="221">
        <v>0.86</v>
      </c>
      <c r="L31" s="222">
        <v>0.70330000000000004</v>
      </c>
      <c r="M31" s="223">
        <f t="shared" si="9"/>
        <v>0</v>
      </c>
      <c r="N31" s="224">
        <f t="shared" si="10"/>
        <v>0</v>
      </c>
      <c r="O31" s="269">
        <f t="shared" si="11"/>
        <v>0</v>
      </c>
      <c r="P31" s="226">
        <f t="shared" si="12"/>
        <v>0</v>
      </c>
      <c r="R31" s="227"/>
      <c r="S31" s="231"/>
    </row>
    <row r="32" spans="1:19">
      <c r="A32" s="216" t="s">
        <v>189</v>
      </c>
      <c r="B32" s="256" t="s">
        <v>196</v>
      </c>
      <c r="C32" s="270">
        <v>2.6</v>
      </c>
      <c r="D32" s="271"/>
      <c r="E32" s="271"/>
      <c r="F32" s="271"/>
      <c r="G32" s="271"/>
      <c r="H32" s="220"/>
      <c r="I32" s="220"/>
      <c r="J32" s="220"/>
      <c r="K32" s="221">
        <v>0.19</v>
      </c>
      <c r="L32" s="222">
        <v>0.1447</v>
      </c>
      <c r="M32" s="223">
        <f t="shared" si="9"/>
        <v>0</v>
      </c>
      <c r="N32" s="224">
        <f t="shared" si="10"/>
        <v>0</v>
      </c>
      <c r="O32" s="269">
        <f t="shared" si="11"/>
        <v>0</v>
      </c>
      <c r="P32" s="226">
        <f t="shared" si="12"/>
        <v>0</v>
      </c>
      <c r="R32" s="227"/>
      <c r="S32" s="231"/>
    </row>
    <row r="33" spans="1:19">
      <c r="A33" s="216"/>
      <c r="B33" s="256"/>
      <c r="C33" s="218">
        <v>8</v>
      </c>
      <c r="D33" s="271"/>
      <c r="E33" s="271"/>
      <c r="F33" s="271"/>
      <c r="G33" s="271"/>
      <c r="H33" s="220"/>
      <c r="I33" s="220"/>
      <c r="J33" s="220"/>
      <c r="K33" s="221">
        <v>0.31</v>
      </c>
      <c r="L33" s="222">
        <v>0.21510000000000001</v>
      </c>
      <c r="M33" s="223">
        <f t="shared" si="9"/>
        <v>0</v>
      </c>
      <c r="N33" s="272">
        <f t="shared" si="10"/>
        <v>0</v>
      </c>
      <c r="O33" s="273">
        <f t="shared" si="11"/>
        <v>0</v>
      </c>
      <c r="P33" s="226">
        <f t="shared" si="12"/>
        <v>0</v>
      </c>
      <c r="R33" s="227"/>
      <c r="S33" s="231"/>
    </row>
    <row r="34" spans="1:19">
      <c r="A34" s="216"/>
      <c r="B34" s="256"/>
      <c r="C34" s="218">
        <v>14</v>
      </c>
      <c r="D34" s="271"/>
      <c r="E34" s="271"/>
      <c r="F34" s="271"/>
      <c r="G34" s="271"/>
      <c r="H34" s="220"/>
      <c r="I34" s="220"/>
      <c r="J34" s="220"/>
      <c r="K34" s="221">
        <v>0.51</v>
      </c>
      <c r="L34" s="222">
        <v>0.3831</v>
      </c>
      <c r="M34" s="223">
        <f t="shared" si="9"/>
        <v>0</v>
      </c>
      <c r="N34" s="272">
        <f t="shared" si="10"/>
        <v>0</v>
      </c>
      <c r="O34" s="274">
        <f t="shared" si="11"/>
        <v>0</v>
      </c>
      <c r="P34" s="226">
        <f t="shared" si="12"/>
        <v>0</v>
      </c>
      <c r="R34" s="227"/>
      <c r="S34" s="231"/>
    </row>
    <row r="35" spans="1:19">
      <c r="A35" s="216" t="s">
        <v>189</v>
      </c>
      <c r="B35" s="256" t="s">
        <v>187</v>
      </c>
      <c r="C35" s="270">
        <v>22</v>
      </c>
      <c r="D35" s="271"/>
      <c r="E35" s="271"/>
      <c r="F35" s="271"/>
      <c r="G35" s="271"/>
      <c r="H35" s="220"/>
      <c r="I35" s="220"/>
      <c r="J35" s="220"/>
      <c r="K35" s="221">
        <v>0.78500000000000003</v>
      </c>
      <c r="L35" s="222">
        <v>0.61</v>
      </c>
      <c r="M35" s="223">
        <f t="shared" si="9"/>
        <v>0</v>
      </c>
      <c r="N35" s="224">
        <f t="shared" si="10"/>
        <v>0</v>
      </c>
      <c r="O35" s="225">
        <f t="shared" si="11"/>
        <v>0</v>
      </c>
      <c r="P35" s="226">
        <f t="shared" si="12"/>
        <v>0</v>
      </c>
      <c r="R35" s="227"/>
      <c r="S35" s="231"/>
    </row>
    <row r="36" spans="1:19">
      <c r="A36" s="216" t="s">
        <v>189</v>
      </c>
      <c r="B36" s="256" t="s">
        <v>187</v>
      </c>
      <c r="C36" s="270">
        <v>38</v>
      </c>
      <c r="D36" s="271"/>
      <c r="E36" s="271"/>
      <c r="F36" s="271"/>
      <c r="G36" s="271"/>
      <c r="H36" s="220"/>
      <c r="I36" s="220"/>
      <c r="J36" s="220"/>
      <c r="K36" s="221">
        <v>1.29</v>
      </c>
      <c r="L36" s="222">
        <v>1.0532999999999999</v>
      </c>
      <c r="M36" s="223">
        <f t="shared" si="9"/>
        <v>0</v>
      </c>
      <c r="N36" s="224">
        <f t="shared" si="10"/>
        <v>0</v>
      </c>
      <c r="O36" s="225">
        <f t="shared" si="11"/>
        <v>0</v>
      </c>
      <c r="P36" s="226">
        <f t="shared" si="12"/>
        <v>0</v>
      </c>
      <c r="R36" s="227"/>
      <c r="S36" s="231"/>
    </row>
    <row r="37" spans="1:19">
      <c r="A37" s="216" t="s">
        <v>189</v>
      </c>
      <c r="B37" s="257" t="s">
        <v>187</v>
      </c>
      <c r="C37" s="275">
        <v>60</v>
      </c>
      <c r="D37" s="276"/>
      <c r="E37" s="276"/>
      <c r="F37" s="276"/>
      <c r="G37" s="276"/>
      <c r="H37" s="234"/>
      <c r="I37" s="234"/>
      <c r="J37" s="234"/>
      <c r="K37" s="233">
        <v>1.96</v>
      </c>
      <c r="L37" s="235">
        <v>1.6667000000000001</v>
      </c>
      <c r="M37" s="236">
        <f t="shared" si="9"/>
        <v>0</v>
      </c>
      <c r="N37" s="237">
        <f t="shared" si="10"/>
        <v>0</v>
      </c>
      <c r="O37" s="238">
        <f t="shared" si="11"/>
        <v>0</v>
      </c>
      <c r="P37" s="226">
        <f t="shared" si="12"/>
        <v>0</v>
      </c>
      <c r="R37" s="227"/>
      <c r="S37" s="231"/>
    </row>
    <row r="38" spans="1:19">
      <c r="A38" s="216" t="s">
        <v>189</v>
      </c>
      <c r="B38" s="240"/>
      <c r="C38" s="277"/>
      <c r="D38" s="277"/>
      <c r="E38" s="277"/>
      <c r="F38" s="277"/>
      <c r="G38" s="277"/>
      <c r="H38" s="241"/>
      <c r="I38" s="241"/>
      <c r="J38" s="241"/>
      <c r="K38" s="241"/>
      <c r="L38" s="242"/>
      <c r="M38" s="243"/>
      <c r="N38" s="244"/>
      <c r="O38" s="245"/>
      <c r="P38" s="246"/>
      <c r="R38" s="227"/>
      <c r="S38" s="231"/>
    </row>
    <row r="39" spans="1:19">
      <c r="A39" s="216" t="s">
        <v>189</v>
      </c>
      <c r="B39" s="247" t="s">
        <v>197</v>
      </c>
      <c r="C39" s="260">
        <v>2</v>
      </c>
      <c r="D39" s="261"/>
      <c r="E39" s="261"/>
      <c r="F39" s="261"/>
      <c r="G39" s="261"/>
      <c r="H39" s="250"/>
      <c r="I39" s="250"/>
      <c r="J39" s="250"/>
      <c r="K39" s="251">
        <v>0.12</v>
      </c>
      <c r="L39" s="252">
        <v>3.6700000000000003E-2</v>
      </c>
      <c r="M39" s="253">
        <f t="shared" ref="M39:M50" si="13">SUM(D39:J39)</f>
        <v>0</v>
      </c>
      <c r="N39" s="254">
        <f t="shared" ref="N39:N50" si="14">K39*M39</f>
        <v>0</v>
      </c>
      <c r="O39" s="255">
        <f t="shared" ref="O39:O50" si="15">L39*M39</f>
        <v>0</v>
      </c>
      <c r="P39" s="226">
        <f t="shared" ref="P39:P50" si="16">N39-O39</f>
        <v>0</v>
      </c>
      <c r="R39" s="227"/>
      <c r="S39" s="231"/>
    </row>
    <row r="40" spans="1:19">
      <c r="A40" s="216" t="s">
        <v>189</v>
      </c>
      <c r="B40" s="256" t="s">
        <v>187</v>
      </c>
      <c r="C40" s="218">
        <v>3.5</v>
      </c>
      <c r="D40" s="219"/>
      <c r="E40" s="219"/>
      <c r="F40" s="219"/>
      <c r="G40" s="219"/>
      <c r="H40" s="220"/>
      <c r="I40" s="220"/>
      <c r="J40" s="220"/>
      <c r="K40" s="221">
        <v>0.16500000000000001</v>
      </c>
      <c r="L40" s="222">
        <v>6.5000000000000002E-2</v>
      </c>
      <c r="M40" s="223">
        <f t="shared" si="13"/>
        <v>0</v>
      </c>
      <c r="N40" s="224">
        <f t="shared" si="14"/>
        <v>0</v>
      </c>
      <c r="O40" s="225">
        <f t="shared" si="15"/>
        <v>0</v>
      </c>
      <c r="P40" s="226">
        <f t="shared" si="16"/>
        <v>0</v>
      </c>
      <c r="R40" s="227"/>
      <c r="S40" s="231"/>
    </row>
    <row r="41" spans="1:19">
      <c r="A41" s="216" t="s">
        <v>189</v>
      </c>
      <c r="B41" s="256" t="s">
        <v>187</v>
      </c>
      <c r="C41" s="218">
        <v>5.5</v>
      </c>
      <c r="D41" s="219"/>
      <c r="E41" s="219"/>
      <c r="F41" s="219"/>
      <c r="G41" s="219"/>
      <c r="H41" s="220"/>
      <c r="I41" s="220"/>
      <c r="J41" s="220"/>
      <c r="K41" s="221">
        <v>0.23499999999999999</v>
      </c>
      <c r="L41" s="222">
        <v>0.1017</v>
      </c>
      <c r="M41" s="223">
        <f t="shared" si="13"/>
        <v>0</v>
      </c>
      <c r="N41" s="224">
        <f t="shared" si="14"/>
        <v>0</v>
      </c>
      <c r="O41" s="225">
        <f t="shared" si="15"/>
        <v>0</v>
      </c>
      <c r="P41" s="226">
        <f t="shared" si="16"/>
        <v>0</v>
      </c>
      <c r="R41" s="227"/>
      <c r="S41" s="231"/>
    </row>
    <row r="42" spans="1:19">
      <c r="A42" s="216" t="s">
        <v>189</v>
      </c>
      <c r="B42" s="256" t="s">
        <v>187</v>
      </c>
      <c r="C42" s="218">
        <v>8</v>
      </c>
      <c r="D42" s="219"/>
      <c r="E42" s="219"/>
      <c r="F42" s="219"/>
      <c r="G42" s="219"/>
      <c r="H42" s="220"/>
      <c r="I42" s="220"/>
      <c r="J42" s="220"/>
      <c r="K42" s="221">
        <v>0.3</v>
      </c>
      <c r="L42" s="222">
        <v>0.14630000000000001</v>
      </c>
      <c r="M42" s="223">
        <f t="shared" si="13"/>
        <v>0</v>
      </c>
      <c r="N42" s="224">
        <f t="shared" si="14"/>
        <v>0</v>
      </c>
      <c r="O42" s="225">
        <f t="shared" si="15"/>
        <v>0</v>
      </c>
      <c r="P42" s="226">
        <f t="shared" si="16"/>
        <v>0</v>
      </c>
      <c r="R42" s="227"/>
      <c r="S42" s="231"/>
    </row>
    <row r="43" spans="1:19">
      <c r="A43" s="216" t="s">
        <v>189</v>
      </c>
      <c r="B43" s="256" t="s">
        <v>187</v>
      </c>
      <c r="C43" s="278">
        <v>14</v>
      </c>
      <c r="D43" s="279"/>
      <c r="E43" s="279"/>
      <c r="F43" s="279"/>
      <c r="G43" s="279"/>
      <c r="H43" s="220"/>
      <c r="I43" s="220"/>
      <c r="J43" s="220"/>
      <c r="K43" s="221">
        <v>0.435</v>
      </c>
      <c r="L43" s="222">
        <v>0.25900000000000001</v>
      </c>
      <c r="M43" s="223">
        <f t="shared" si="13"/>
        <v>0</v>
      </c>
      <c r="N43" s="224">
        <f t="shared" si="14"/>
        <v>0</v>
      </c>
      <c r="O43" s="225">
        <f t="shared" si="15"/>
        <v>0</v>
      </c>
      <c r="P43" s="226">
        <f t="shared" si="16"/>
        <v>0</v>
      </c>
      <c r="R43" s="227"/>
      <c r="S43" s="231"/>
    </row>
    <row r="44" spans="1:19">
      <c r="A44" s="216" t="s">
        <v>189</v>
      </c>
      <c r="B44" s="256" t="s">
        <v>187</v>
      </c>
      <c r="C44" s="218">
        <v>22</v>
      </c>
      <c r="D44" s="219"/>
      <c r="E44" s="219"/>
      <c r="F44" s="219"/>
      <c r="G44" s="219"/>
      <c r="H44" s="220"/>
      <c r="I44" s="220"/>
      <c r="J44" s="220"/>
      <c r="K44" s="221">
        <v>0.63500000000000001</v>
      </c>
      <c r="L44" s="222">
        <v>0.40670000000000001</v>
      </c>
      <c r="M44" s="223">
        <f t="shared" si="13"/>
        <v>0</v>
      </c>
      <c r="N44" s="224">
        <f t="shared" si="14"/>
        <v>0</v>
      </c>
      <c r="O44" s="225">
        <f t="shared" si="15"/>
        <v>0</v>
      </c>
      <c r="P44" s="226">
        <f t="shared" si="16"/>
        <v>0</v>
      </c>
      <c r="R44" s="227"/>
      <c r="S44" s="231"/>
    </row>
    <row r="45" spans="1:19">
      <c r="A45" s="216" t="s">
        <v>189</v>
      </c>
      <c r="B45" s="256" t="s">
        <v>187</v>
      </c>
      <c r="C45" s="218">
        <v>38</v>
      </c>
      <c r="D45" s="219"/>
      <c r="E45" s="219"/>
      <c r="F45" s="219"/>
      <c r="G45" s="219"/>
      <c r="H45" s="220"/>
      <c r="I45" s="220"/>
      <c r="J45" s="220"/>
      <c r="K45" s="221">
        <v>1.02</v>
      </c>
      <c r="L45" s="222">
        <v>0.70330000000000004</v>
      </c>
      <c r="M45" s="223">
        <f t="shared" si="13"/>
        <v>0</v>
      </c>
      <c r="N45" s="224">
        <f t="shared" si="14"/>
        <v>0</v>
      </c>
      <c r="O45" s="225">
        <f t="shared" si="15"/>
        <v>0</v>
      </c>
      <c r="P45" s="226">
        <f t="shared" si="16"/>
        <v>0</v>
      </c>
      <c r="R45" s="227"/>
      <c r="S45" s="231"/>
    </row>
    <row r="46" spans="1:19">
      <c r="A46" s="216" t="s">
        <v>189</v>
      </c>
      <c r="B46" s="256" t="s">
        <v>187</v>
      </c>
      <c r="C46" s="221">
        <v>60</v>
      </c>
      <c r="D46" s="220"/>
      <c r="E46" s="220"/>
      <c r="F46" s="220"/>
      <c r="G46" s="220"/>
      <c r="H46" s="220"/>
      <c r="I46" s="220"/>
      <c r="J46" s="220"/>
      <c r="K46" s="221">
        <v>1.57</v>
      </c>
      <c r="L46" s="222">
        <v>1.0732999999999999</v>
      </c>
      <c r="M46" s="223">
        <f t="shared" si="13"/>
        <v>0</v>
      </c>
      <c r="N46" s="224">
        <f t="shared" si="14"/>
        <v>0</v>
      </c>
      <c r="O46" s="225">
        <f t="shared" si="15"/>
        <v>0</v>
      </c>
      <c r="P46" s="226">
        <f t="shared" si="16"/>
        <v>0</v>
      </c>
      <c r="R46" s="227"/>
      <c r="S46" s="231"/>
    </row>
    <row r="47" spans="1:19">
      <c r="A47" s="216" t="s">
        <v>189</v>
      </c>
      <c r="B47" s="256" t="s">
        <v>187</v>
      </c>
      <c r="C47" s="221">
        <v>100</v>
      </c>
      <c r="D47" s="220"/>
      <c r="E47" s="220"/>
      <c r="F47" s="220"/>
      <c r="G47" s="220"/>
      <c r="H47" s="220"/>
      <c r="I47" s="220"/>
      <c r="J47" s="220"/>
      <c r="K47" s="221">
        <v>2.58</v>
      </c>
      <c r="L47" s="222">
        <v>1.85</v>
      </c>
      <c r="M47" s="223">
        <f t="shared" si="13"/>
        <v>0</v>
      </c>
      <c r="N47" s="224">
        <f t="shared" si="14"/>
        <v>0</v>
      </c>
      <c r="O47" s="225">
        <f t="shared" si="15"/>
        <v>0</v>
      </c>
      <c r="P47" s="226">
        <f t="shared" si="16"/>
        <v>0</v>
      </c>
      <c r="R47" s="227"/>
      <c r="S47" s="231"/>
    </row>
    <row r="48" spans="1:19">
      <c r="A48" s="216" t="s">
        <v>189</v>
      </c>
      <c r="B48" s="256" t="s">
        <v>187</v>
      </c>
      <c r="C48" s="221">
        <v>150</v>
      </c>
      <c r="D48" s="220"/>
      <c r="E48" s="220"/>
      <c r="F48" s="220"/>
      <c r="G48" s="220"/>
      <c r="H48" s="220"/>
      <c r="I48" s="220"/>
      <c r="J48" s="220"/>
      <c r="K48" s="221">
        <v>3.71</v>
      </c>
      <c r="L48" s="222">
        <v>2.7732999999999999</v>
      </c>
      <c r="M48" s="223">
        <f t="shared" si="13"/>
        <v>0</v>
      </c>
      <c r="N48" s="224">
        <f t="shared" si="14"/>
        <v>0</v>
      </c>
      <c r="O48" s="225">
        <f t="shared" si="15"/>
        <v>0</v>
      </c>
      <c r="P48" s="226">
        <f t="shared" si="16"/>
        <v>0</v>
      </c>
      <c r="R48" s="227"/>
      <c r="S48" s="228"/>
    </row>
    <row r="49" spans="1:19">
      <c r="A49" s="216" t="s">
        <v>189</v>
      </c>
      <c r="B49" s="256" t="s">
        <v>187</v>
      </c>
      <c r="C49" s="221">
        <v>200</v>
      </c>
      <c r="D49" s="220"/>
      <c r="E49" s="220"/>
      <c r="F49" s="220"/>
      <c r="G49" s="220"/>
      <c r="H49" s="220"/>
      <c r="I49" s="220"/>
      <c r="J49" s="220"/>
      <c r="K49" s="221">
        <v>4.9800000000000004</v>
      </c>
      <c r="L49" s="222">
        <v>3.7</v>
      </c>
      <c r="M49" s="223">
        <f t="shared" si="13"/>
        <v>0</v>
      </c>
      <c r="N49" s="224">
        <f t="shared" si="14"/>
        <v>0</v>
      </c>
      <c r="O49" s="225">
        <f t="shared" si="15"/>
        <v>0</v>
      </c>
      <c r="P49" s="226">
        <f t="shared" si="16"/>
        <v>0</v>
      </c>
      <c r="R49" s="227"/>
      <c r="S49" s="228"/>
    </row>
    <row r="50" spans="1:19">
      <c r="A50" s="216" t="s">
        <v>189</v>
      </c>
      <c r="B50" s="257" t="s">
        <v>187</v>
      </c>
      <c r="C50" s="233">
        <v>250</v>
      </c>
      <c r="D50" s="234"/>
      <c r="E50" s="234"/>
      <c r="F50" s="234"/>
      <c r="G50" s="234"/>
      <c r="H50" s="234"/>
      <c r="I50" s="234"/>
      <c r="J50" s="234"/>
      <c r="K50" s="233">
        <v>6.14</v>
      </c>
      <c r="L50" s="235">
        <v>4.67</v>
      </c>
      <c r="M50" s="236">
        <f t="shared" si="13"/>
        <v>0</v>
      </c>
      <c r="N50" s="237">
        <f t="shared" si="14"/>
        <v>0</v>
      </c>
      <c r="O50" s="238">
        <f t="shared" si="15"/>
        <v>0</v>
      </c>
      <c r="P50" s="226">
        <f t="shared" si="16"/>
        <v>0</v>
      </c>
      <c r="R50" s="227"/>
      <c r="S50" s="228"/>
    </row>
    <row r="51" spans="1:19">
      <c r="A51" s="216" t="s">
        <v>189</v>
      </c>
      <c r="B51" s="240"/>
      <c r="C51" s="241"/>
      <c r="D51" s="241"/>
      <c r="E51" s="241"/>
      <c r="F51" s="241"/>
      <c r="G51" s="241"/>
      <c r="H51" s="241"/>
      <c r="I51" s="241"/>
      <c r="J51" s="241"/>
      <c r="K51" s="241"/>
      <c r="L51" s="242"/>
      <c r="M51" s="243"/>
      <c r="N51" s="244"/>
      <c r="O51" s="245"/>
      <c r="P51" s="246"/>
      <c r="R51" s="227"/>
      <c r="S51" s="228"/>
    </row>
    <row r="52" spans="1:19">
      <c r="A52" s="216" t="s">
        <v>189</v>
      </c>
      <c r="B52" s="247" t="s">
        <v>198</v>
      </c>
      <c r="C52" s="248">
        <v>2</v>
      </c>
      <c r="D52" s="249"/>
      <c r="E52" s="249"/>
      <c r="F52" s="249"/>
      <c r="G52" s="249"/>
      <c r="H52" s="250"/>
      <c r="I52" s="250"/>
      <c r="J52" s="250"/>
      <c r="K52" s="251">
        <v>0.15</v>
      </c>
      <c r="L52" s="252">
        <v>5.5E-2</v>
      </c>
      <c r="M52" s="253">
        <f t="shared" ref="M52:M59" si="17">SUM(D52:J52)</f>
        <v>0</v>
      </c>
      <c r="N52" s="254">
        <f t="shared" ref="N52:N59" si="18">K52*M52</f>
        <v>0</v>
      </c>
      <c r="O52" s="255">
        <f t="shared" ref="O52:O59" si="19">L52*M52</f>
        <v>0</v>
      </c>
      <c r="P52" s="226">
        <f t="shared" ref="P52:P61" si="20">N52-O52</f>
        <v>0</v>
      </c>
      <c r="R52" s="227"/>
      <c r="S52" s="228"/>
    </row>
    <row r="53" spans="1:19">
      <c r="A53" s="216" t="s">
        <v>189</v>
      </c>
      <c r="B53" s="256" t="s">
        <v>187</v>
      </c>
      <c r="C53" s="218">
        <v>3.5</v>
      </c>
      <c r="D53" s="219"/>
      <c r="E53" s="219"/>
      <c r="F53" s="219"/>
      <c r="G53" s="219"/>
      <c r="H53" s="220"/>
      <c r="I53" s="220"/>
      <c r="J53" s="220"/>
      <c r="K53" s="221">
        <v>0.21</v>
      </c>
      <c r="L53" s="222">
        <v>9.7699999999999995E-2</v>
      </c>
      <c r="M53" s="223">
        <f t="shared" si="17"/>
        <v>0</v>
      </c>
      <c r="N53" s="224">
        <f t="shared" si="18"/>
        <v>0</v>
      </c>
      <c r="O53" s="225">
        <f t="shared" si="19"/>
        <v>0</v>
      </c>
      <c r="P53" s="226">
        <f t="shared" si="20"/>
        <v>0</v>
      </c>
      <c r="R53" s="227"/>
      <c r="S53" s="228"/>
    </row>
    <row r="54" spans="1:19">
      <c r="A54" s="216" t="s">
        <v>189</v>
      </c>
      <c r="B54" s="256" t="s">
        <v>187</v>
      </c>
      <c r="C54" s="218">
        <v>5.5</v>
      </c>
      <c r="D54" s="219"/>
      <c r="E54" s="219"/>
      <c r="F54" s="219"/>
      <c r="G54" s="219"/>
      <c r="H54" s="220"/>
      <c r="I54" s="220"/>
      <c r="J54" s="220"/>
      <c r="K54" s="221">
        <v>0.3</v>
      </c>
      <c r="L54" s="222">
        <v>0.1527</v>
      </c>
      <c r="M54" s="223">
        <f t="shared" si="17"/>
        <v>0</v>
      </c>
      <c r="N54" s="224">
        <f t="shared" si="18"/>
        <v>0</v>
      </c>
      <c r="O54" s="225">
        <f t="shared" si="19"/>
        <v>0</v>
      </c>
      <c r="P54" s="226">
        <f t="shared" si="20"/>
        <v>0</v>
      </c>
      <c r="R54" s="227"/>
      <c r="S54" s="228"/>
    </row>
    <row r="55" spans="1:19">
      <c r="A55" s="216" t="s">
        <v>189</v>
      </c>
      <c r="B55" s="256" t="s">
        <v>187</v>
      </c>
      <c r="C55" s="218">
        <v>8</v>
      </c>
      <c r="D55" s="219"/>
      <c r="E55" s="219"/>
      <c r="F55" s="219"/>
      <c r="G55" s="219"/>
      <c r="H55" s="220"/>
      <c r="I55" s="220"/>
      <c r="J55" s="220"/>
      <c r="K55" s="221">
        <v>0.35799999999999998</v>
      </c>
      <c r="L55" s="222">
        <v>0.21970000000000001</v>
      </c>
      <c r="M55" s="223">
        <f t="shared" si="17"/>
        <v>0</v>
      </c>
      <c r="N55" s="224">
        <f t="shared" si="18"/>
        <v>0</v>
      </c>
      <c r="O55" s="225">
        <f t="shared" si="19"/>
        <v>0</v>
      </c>
      <c r="P55" s="226">
        <f t="shared" si="20"/>
        <v>0</v>
      </c>
      <c r="R55" s="227"/>
      <c r="S55" s="228"/>
    </row>
    <row r="56" spans="1:19">
      <c r="A56" s="216" t="s">
        <v>189</v>
      </c>
      <c r="B56" s="256" t="s">
        <v>187</v>
      </c>
      <c r="C56" s="278">
        <v>14</v>
      </c>
      <c r="D56" s="279"/>
      <c r="E56" s="279"/>
      <c r="F56" s="279"/>
      <c r="G56" s="279"/>
      <c r="H56" s="220"/>
      <c r="I56" s="220"/>
      <c r="J56" s="220"/>
      <c r="K56" s="221">
        <v>0.58499999999999996</v>
      </c>
      <c r="L56" s="222">
        <v>0.38669999999999999</v>
      </c>
      <c r="M56" s="223">
        <f t="shared" si="17"/>
        <v>0</v>
      </c>
      <c r="N56" s="224">
        <f t="shared" si="18"/>
        <v>0</v>
      </c>
      <c r="O56" s="225">
        <f t="shared" si="19"/>
        <v>0</v>
      </c>
      <c r="P56" s="226">
        <f t="shared" si="20"/>
        <v>0</v>
      </c>
      <c r="R56" s="227"/>
      <c r="S56" s="228"/>
    </row>
    <row r="57" spans="1:19">
      <c r="A57" s="216" t="s">
        <v>189</v>
      </c>
      <c r="B57" s="256" t="s">
        <v>187</v>
      </c>
      <c r="C57" s="278">
        <v>22</v>
      </c>
      <c r="D57" s="279"/>
      <c r="E57" s="279"/>
      <c r="F57" s="279"/>
      <c r="G57" s="279"/>
      <c r="H57" s="220"/>
      <c r="I57" s="220"/>
      <c r="J57" s="220"/>
      <c r="K57" s="221">
        <v>0.86</v>
      </c>
      <c r="L57" s="222">
        <v>0.61</v>
      </c>
      <c r="M57" s="223">
        <f t="shared" si="17"/>
        <v>0</v>
      </c>
      <c r="N57" s="224">
        <f t="shared" si="18"/>
        <v>0</v>
      </c>
      <c r="O57" s="225">
        <f t="shared" si="19"/>
        <v>0</v>
      </c>
      <c r="P57" s="226">
        <f t="shared" si="20"/>
        <v>0</v>
      </c>
      <c r="R57" s="227"/>
      <c r="S57" s="228"/>
    </row>
    <row r="58" spans="1:19">
      <c r="A58" s="216" t="s">
        <v>189</v>
      </c>
      <c r="B58" s="256" t="s">
        <v>187</v>
      </c>
      <c r="C58" s="278">
        <v>38</v>
      </c>
      <c r="D58" s="279"/>
      <c r="E58" s="279"/>
      <c r="F58" s="279"/>
      <c r="G58" s="279"/>
      <c r="H58" s="220"/>
      <c r="I58" s="220"/>
      <c r="J58" s="220"/>
      <c r="K58" s="221">
        <v>1.41</v>
      </c>
      <c r="L58" s="222">
        <v>1.0529999999999999</v>
      </c>
      <c r="M58" s="223">
        <f t="shared" si="17"/>
        <v>0</v>
      </c>
      <c r="N58" s="224">
        <f t="shared" si="18"/>
        <v>0</v>
      </c>
      <c r="O58" s="225">
        <f t="shared" si="19"/>
        <v>0</v>
      </c>
      <c r="P58" s="226">
        <f t="shared" si="20"/>
        <v>0</v>
      </c>
      <c r="R58" s="227"/>
      <c r="S58" s="228"/>
    </row>
    <row r="59" spans="1:19">
      <c r="A59" s="216" t="s">
        <v>189</v>
      </c>
      <c r="B59" s="257" t="s">
        <v>187</v>
      </c>
      <c r="C59" s="280">
        <v>60</v>
      </c>
      <c r="D59" s="281"/>
      <c r="E59" s="281"/>
      <c r="F59" s="281"/>
      <c r="G59" s="281"/>
      <c r="H59" s="234"/>
      <c r="I59" s="234"/>
      <c r="J59" s="234"/>
      <c r="K59" s="233">
        <v>2.17</v>
      </c>
      <c r="L59" s="235">
        <v>1.6667000000000001</v>
      </c>
      <c r="M59" s="236">
        <f t="shared" si="17"/>
        <v>0</v>
      </c>
      <c r="N59" s="237">
        <f t="shared" si="18"/>
        <v>0</v>
      </c>
      <c r="O59" s="238">
        <f t="shared" si="19"/>
        <v>0</v>
      </c>
      <c r="P59" s="226">
        <f t="shared" si="20"/>
        <v>0</v>
      </c>
      <c r="R59" s="227"/>
      <c r="S59" s="228"/>
    </row>
    <row r="60" spans="1:19">
      <c r="A60" s="216" t="s">
        <v>189</v>
      </c>
      <c r="B60" s="240"/>
      <c r="C60" s="282"/>
      <c r="D60" s="282"/>
      <c r="E60" s="282"/>
      <c r="F60" s="282"/>
      <c r="G60" s="282"/>
      <c r="H60" s="241"/>
      <c r="I60" s="241"/>
      <c r="J60" s="241"/>
      <c r="K60" s="241"/>
      <c r="L60" s="242"/>
      <c r="M60" s="243"/>
      <c r="N60" s="244"/>
      <c r="O60" s="245" t="s">
        <v>199</v>
      </c>
      <c r="P60" s="246" t="s">
        <v>199</v>
      </c>
      <c r="R60" s="227"/>
      <c r="S60" s="228"/>
    </row>
    <row r="61" spans="1:19">
      <c r="A61" s="216" t="s">
        <v>189</v>
      </c>
      <c r="B61" s="240" t="s">
        <v>200</v>
      </c>
      <c r="C61" s="283">
        <v>3.5</v>
      </c>
      <c r="D61" s="284"/>
      <c r="E61" s="284"/>
      <c r="F61" s="284"/>
      <c r="G61" s="284"/>
      <c r="H61" s="285"/>
      <c r="I61" s="285"/>
      <c r="J61" s="285"/>
      <c r="K61" s="241">
        <v>0.26</v>
      </c>
      <c r="L61" s="242">
        <v>0.1303</v>
      </c>
      <c r="M61" s="286">
        <f>SUM(D61:J61)</f>
        <v>0</v>
      </c>
      <c r="N61" s="244">
        <f>K61*M61</f>
        <v>0</v>
      </c>
      <c r="O61" s="287">
        <f>L61*M61</f>
        <v>0</v>
      </c>
      <c r="P61" s="226">
        <f t="shared" si="20"/>
        <v>0</v>
      </c>
      <c r="R61" s="227"/>
      <c r="S61" s="228"/>
    </row>
    <row r="62" spans="1:19">
      <c r="A62" s="216" t="s">
        <v>189</v>
      </c>
      <c r="B62" s="240"/>
      <c r="C62" s="282"/>
      <c r="D62" s="282"/>
      <c r="E62" s="282"/>
      <c r="F62" s="282"/>
      <c r="G62" s="282"/>
      <c r="H62" s="241"/>
      <c r="I62" s="241"/>
      <c r="J62" s="241"/>
      <c r="K62" s="241"/>
      <c r="L62" s="242"/>
      <c r="M62" s="243"/>
      <c r="N62" s="244"/>
      <c r="O62" s="245" t="s">
        <v>199</v>
      </c>
      <c r="P62" s="246" t="s">
        <v>199</v>
      </c>
      <c r="R62" s="227"/>
      <c r="S62" s="228"/>
    </row>
    <row r="63" spans="1:19">
      <c r="A63" s="216" t="s">
        <v>189</v>
      </c>
      <c r="B63" s="247" t="s">
        <v>201</v>
      </c>
      <c r="C63" s="288">
        <v>22</v>
      </c>
      <c r="D63" s="289"/>
      <c r="E63" s="289"/>
      <c r="F63" s="289"/>
      <c r="G63" s="289"/>
      <c r="H63" s="250"/>
      <c r="I63" s="250"/>
      <c r="J63" s="250"/>
      <c r="K63" s="251">
        <v>0.85</v>
      </c>
      <c r="L63" s="252">
        <v>0.61</v>
      </c>
      <c r="M63" s="253">
        <f t="shared" ref="M63:M69" si="21">SUM(D63:J63)</f>
        <v>0</v>
      </c>
      <c r="N63" s="254">
        <f t="shared" ref="N63:N69" si="22">K63*M63</f>
        <v>0</v>
      </c>
      <c r="O63" s="255">
        <f t="shared" ref="O63:O69" si="23">L63*M63</f>
        <v>0</v>
      </c>
      <c r="P63" s="226">
        <f t="shared" ref="P63:P69" si="24">N63-O63</f>
        <v>0</v>
      </c>
      <c r="R63" s="227">
        <v>4.5216000000000001E-4</v>
      </c>
      <c r="S63" s="228"/>
    </row>
    <row r="64" spans="1:19">
      <c r="A64" s="216" t="s">
        <v>189</v>
      </c>
      <c r="B64" s="256" t="s">
        <v>187</v>
      </c>
      <c r="C64" s="278">
        <v>38</v>
      </c>
      <c r="D64" s="279"/>
      <c r="E64" s="279"/>
      <c r="F64" s="279"/>
      <c r="G64" s="279"/>
      <c r="H64" s="220"/>
      <c r="I64" s="220"/>
      <c r="J64" s="220"/>
      <c r="K64" s="221">
        <v>1.35</v>
      </c>
      <c r="L64" s="222">
        <v>1.0529999999999999</v>
      </c>
      <c r="M64" s="223">
        <f t="shared" si="21"/>
        <v>0</v>
      </c>
      <c r="N64" s="224">
        <f t="shared" si="22"/>
        <v>0</v>
      </c>
      <c r="O64" s="225">
        <f t="shared" si="23"/>
        <v>0</v>
      </c>
      <c r="P64" s="226">
        <f t="shared" si="24"/>
        <v>0</v>
      </c>
      <c r="R64" s="227">
        <v>6.1544000000000008E-4</v>
      </c>
      <c r="S64" s="228"/>
    </row>
    <row r="65" spans="1:19">
      <c r="A65" s="216" t="s">
        <v>189</v>
      </c>
      <c r="B65" s="256" t="s">
        <v>187</v>
      </c>
      <c r="C65" s="221">
        <v>60</v>
      </c>
      <c r="D65" s="220"/>
      <c r="E65" s="220"/>
      <c r="F65" s="220"/>
      <c r="G65" s="220"/>
      <c r="H65" s="220"/>
      <c r="I65" s="220"/>
      <c r="J65" s="220"/>
      <c r="K65" s="221">
        <v>2</v>
      </c>
      <c r="L65" s="222">
        <v>1.6667000000000001</v>
      </c>
      <c r="M65" s="223">
        <f t="shared" si="21"/>
        <v>0</v>
      </c>
      <c r="N65" s="224">
        <f t="shared" si="22"/>
        <v>0</v>
      </c>
      <c r="O65" s="225">
        <f t="shared" si="23"/>
        <v>0</v>
      </c>
      <c r="P65" s="226">
        <f t="shared" si="24"/>
        <v>0</v>
      </c>
      <c r="R65" s="227">
        <v>8.5486500000000012E-4</v>
      </c>
      <c r="S65" s="228">
        <f t="shared" ref="S65:S68" si="25">M65*R65</f>
        <v>0</v>
      </c>
    </row>
    <row r="66" spans="1:19">
      <c r="A66" s="216" t="s">
        <v>189</v>
      </c>
      <c r="B66" s="290" t="s">
        <v>202</v>
      </c>
      <c r="C66" s="221">
        <v>100</v>
      </c>
      <c r="D66" s="220"/>
      <c r="E66" s="220"/>
      <c r="F66" s="220"/>
      <c r="G66" s="220"/>
      <c r="H66" s="220"/>
      <c r="I66" s="220"/>
      <c r="J66" s="220"/>
      <c r="K66" s="221">
        <v>3.25</v>
      </c>
      <c r="L66" s="222">
        <v>2.7766999999999999</v>
      </c>
      <c r="M66" s="223">
        <f t="shared" si="21"/>
        <v>0</v>
      </c>
      <c r="N66" s="224">
        <f t="shared" si="22"/>
        <v>0</v>
      </c>
      <c r="O66" s="225">
        <f t="shared" si="23"/>
        <v>0</v>
      </c>
      <c r="P66" s="226">
        <f t="shared" si="24"/>
        <v>0</v>
      </c>
      <c r="R66" s="227">
        <v>1.3195850000000003E-3</v>
      </c>
      <c r="S66" s="228"/>
    </row>
    <row r="67" spans="1:19">
      <c r="A67" s="216" t="s">
        <v>189</v>
      </c>
      <c r="B67" s="256" t="s">
        <v>187</v>
      </c>
      <c r="C67" s="221">
        <v>150</v>
      </c>
      <c r="D67" s="220"/>
      <c r="E67" s="220"/>
      <c r="F67" s="220"/>
      <c r="G67" s="220"/>
      <c r="H67" s="220"/>
      <c r="I67" s="220"/>
      <c r="J67" s="220"/>
      <c r="K67" s="221">
        <v>4.6500000000000004</v>
      </c>
      <c r="L67" s="222">
        <v>4.1630000000000003</v>
      </c>
      <c r="M67" s="223">
        <f t="shared" si="21"/>
        <v>0</v>
      </c>
      <c r="N67" s="224">
        <f t="shared" si="22"/>
        <v>0</v>
      </c>
      <c r="O67" s="225">
        <f t="shared" si="23"/>
        <v>0</v>
      </c>
      <c r="P67" s="226">
        <f t="shared" si="24"/>
        <v>0</v>
      </c>
      <c r="R67" s="227">
        <v>1.7340650000000001E-3</v>
      </c>
      <c r="S67" s="228">
        <f t="shared" si="25"/>
        <v>0</v>
      </c>
    </row>
    <row r="68" spans="1:19">
      <c r="A68" s="216" t="s">
        <v>189</v>
      </c>
      <c r="B68" s="256" t="s">
        <v>187</v>
      </c>
      <c r="C68" s="221">
        <v>200</v>
      </c>
      <c r="D68" s="220"/>
      <c r="E68" s="220"/>
      <c r="F68" s="220"/>
      <c r="G68" s="220"/>
      <c r="H68" s="220"/>
      <c r="I68" s="220"/>
      <c r="J68" s="220"/>
      <c r="K68" s="221">
        <v>6.2</v>
      </c>
      <c r="L68" s="222">
        <v>5.55</v>
      </c>
      <c r="M68" s="223">
        <f t="shared" si="21"/>
        <v>0</v>
      </c>
      <c r="N68" s="224">
        <f t="shared" si="22"/>
        <v>0</v>
      </c>
      <c r="O68" s="225">
        <f t="shared" si="23"/>
        <v>0</v>
      </c>
      <c r="P68" s="226">
        <f t="shared" si="24"/>
        <v>0</v>
      </c>
      <c r="R68" s="227">
        <v>2.374625E-3</v>
      </c>
      <c r="S68" s="228">
        <f t="shared" si="25"/>
        <v>0</v>
      </c>
    </row>
    <row r="69" spans="1:19">
      <c r="A69" s="216" t="s">
        <v>189</v>
      </c>
      <c r="B69" s="257" t="s">
        <v>187</v>
      </c>
      <c r="C69" s="233">
        <v>250</v>
      </c>
      <c r="D69" s="234"/>
      <c r="E69" s="234"/>
      <c r="F69" s="234"/>
      <c r="G69" s="234"/>
      <c r="H69" s="234"/>
      <c r="I69" s="234"/>
      <c r="J69" s="234"/>
      <c r="K69" s="233">
        <v>7.55</v>
      </c>
      <c r="L69" s="235">
        <v>7.0049999999999999</v>
      </c>
      <c r="M69" s="236">
        <f t="shared" si="21"/>
        <v>0</v>
      </c>
      <c r="N69" s="237">
        <f t="shared" si="22"/>
        <v>0</v>
      </c>
      <c r="O69" s="238">
        <f t="shared" si="23"/>
        <v>0</v>
      </c>
      <c r="P69" s="226">
        <f t="shared" si="24"/>
        <v>0</v>
      </c>
      <c r="R69" s="227">
        <v>2.826E-3</v>
      </c>
      <c r="S69" s="228"/>
    </row>
    <row r="70" spans="1:19">
      <c r="A70" s="216" t="s">
        <v>189</v>
      </c>
      <c r="B70" s="240"/>
      <c r="C70" s="241"/>
      <c r="D70" s="241"/>
      <c r="E70" s="241"/>
      <c r="F70" s="241"/>
      <c r="G70" s="241"/>
      <c r="H70" s="241"/>
      <c r="I70" s="241"/>
      <c r="J70" s="241"/>
      <c r="K70" s="241"/>
      <c r="L70" s="242"/>
      <c r="M70" s="243"/>
      <c r="N70" s="244"/>
      <c r="O70" s="245" t="s">
        <v>193</v>
      </c>
      <c r="P70" s="246" t="s">
        <v>193</v>
      </c>
      <c r="R70" s="227"/>
      <c r="S70" s="228"/>
    </row>
    <row r="71" spans="1:19">
      <c r="A71" s="216" t="s">
        <v>189</v>
      </c>
      <c r="B71" s="247" t="s">
        <v>203</v>
      </c>
      <c r="C71" s="288">
        <v>14</v>
      </c>
      <c r="D71" s="289"/>
      <c r="E71" s="289"/>
      <c r="F71" s="289"/>
      <c r="G71" s="289"/>
      <c r="H71" s="250"/>
      <c r="I71" s="250"/>
      <c r="J71" s="250"/>
      <c r="K71" s="251">
        <v>1.48</v>
      </c>
      <c r="L71" s="252">
        <v>0.38669999999999999</v>
      </c>
      <c r="M71" s="253">
        <f>SUM(D71:J71)</f>
        <v>0</v>
      </c>
      <c r="N71" s="254">
        <f>K71*M71</f>
        <v>0</v>
      </c>
      <c r="O71" s="255">
        <f>L71*M71</f>
        <v>0</v>
      </c>
      <c r="P71" s="226">
        <f>N71-O71</f>
        <v>0</v>
      </c>
      <c r="R71" s="227"/>
      <c r="S71" s="228"/>
    </row>
    <row r="72" spans="1:19">
      <c r="A72" s="216" t="s">
        <v>189</v>
      </c>
      <c r="B72" s="290" t="s">
        <v>204</v>
      </c>
      <c r="C72" s="278">
        <v>22</v>
      </c>
      <c r="D72" s="279"/>
      <c r="E72" s="279"/>
      <c r="F72" s="279"/>
      <c r="G72" s="279"/>
      <c r="H72" s="220"/>
      <c r="I72" s="220"/>
      <c r="J72" s="220"/>
      <c r="K72" s="221">
        <v>1.59</v>
      </c>
      <c r="L72" s="222">
        <v>0.61</v>
      </c>
      <c r="M72" s="223">
        <f>SUM(D72:J72)</f>
        <v>0</v>
      </c>
      <c r="N72" s="224">
        <f>K72*M72</f>
        <v>0</v>
      </c>
      <c r="O72" s="225">
        <f>L72*M72</f>
        <v>0</v>
      </c>
      <c r="P72" s="226">
        <f>N72-O72</f>
        <v>0</v>
      </c>
      <c r="R72" s="227"/>
      <c r="S72" s="228"/>
    </row>
    <row r="73" spans="1:19">
      <c r="A73" s="216" t="s">
        <v>189</v>
      </c>
      <c r="B73" s="256" t="s">
        <v>187</v>
      </c>
      <c r="C73" s="278">
        <v>38</v>
      </c>
      <c r="D73" s="279"/>
      <c r="E73" s="279"/>
      <c r="F73" s="279"/>
      <c r="G73" s="279"/>
      <c r="H73" s="220"/>
      <c r="I73" s="220"/>
      <c r="J73" s="220"/>
      <c r="K73" s="221">
        <v>2.19</v>
      </c>
      <c r="L73" s="222">
        <v>1.0532999999999999</v>
      </c>
      <c r="M73" s="223">
        <f>SUM(D73:J73)</f>
        <v>0</v>
      </c>
      <c r="N73" s="224">
        <f>K73*M73</f>
        <v>0</v>
      </c>
      <c r="O73" s="225">
        <f>L73*M73</f>
        <v>0</v>
      </c>
      <c r="P73" s="226">
        <f>N73-O73</f>
        <v>0</v>
      </c>
      <c r="R73" s="227"/>
      <c r="S73" s="228"/>
    </row>
    <row r="74" spans="1:19">
      <c r="A74" s="216" t="s">
        <v>189</v>
      </c>
      <c r="B74" s="257" t="s">
        <v>187</v>
      </c>
      <c r="C74" s="233">
        <v>60</v>
      </c>
      <c r="D74" s="234"/>
      <c r="E74" s="234"/>
      <c r="F74" s="234"/>
      <c r="G74" s="234"/>
      <c r="H74" s="234"/>
      <c r="I74" s="234"/>
      <c r="J74" s="234"/>
      <c r="K74" s="233">
        <v>2.97</v>
      </c>
      <c r="L74" s="235">
        <v>1.6667000000000001</v>
      </c>
      <c r="M74" s="236">
        <f>SUM(D74:J74)</f>
        <v>0</v>
      </c>
      <c r="N74" s="237">
        <f>K74*M74</f>
        <v>0</v>
      </c>
      <c r="O74" s="238">
        <f>L74*M74</f>
        <v>0</v>
      </c>
      <c r="P74" s="226">
        <f>N74-O74</f>
        <v>0</v>
      </c>
      <c r="R74" s="227"/>
      <c r="S74" s="228"/>
    </row>
    <row r="75" spans="1:19">
      <c r="A75" s="216" t="s">
        <v>189</v>
      </c>
      <c r="B75" s="240" t="s">
        <v>189</v>
      </c>
      <c r="C75" s="241"/>
      <c r="D75" s="241"/>
      <c r="E75" s="241"/>
      <c r="F75" s="241"/>
      <c r="G75" s="241"/>
      <c r="H75" s="241"/>
      <c r="I75" s="241"/>
      <c r="J75" s="241"/>
      <c r="K75" s="241" t="s">
        <v>164</v>
      </c>
      <c r="L75" s="242"/>
      <c r="M75" s="291" t="s">
        <v>164</v>
      </c>
      <c r="N75" s="244" t="s">
        <v>164</v>
      </c>
      <c r="O75" s="245" t="s">
        <v>164</v>
      </c>
      <c r="P75" s="246" t="s">
        <v>164</v>
      </c>
      <c r="R75" s="227"/>
      <c r="S75" s="228"/>
    </row>
    <row r="76" spans="1:19">
      <c r="A76" s="292"/>
      <c r="B76" s="293"/>
      <c r="C76" s="285"/>
      <c r="D76" s="285"/>
      <c r="E76" s="285"/>
      <c r="F76" s="285"/>
      <c r="G76" s="285"/>
      <c r="H76" s="285"/>
      <c r="I76" s="285"/>
      <c r="J76" s="285"/>
      <c r="K76" s="285"/>
      <c r="L76" s="294"/>
      <c r="M76" s="285"/>
      <c r="N76" s="244">
        <f>K76*M76</f>
        <v>0</v>
      </c>
      <c r="O76" s="287">
        <f>L76*M76</f>
        <v>0</v>
      </c>
      <c r="P76" s="295">
        <f>N76-O76</f>
        <v>0</v>
      </c>
      <c r="R76" s="227"/>
      <c r="S76" s="228"/>
    </row>
    <row r="77" spans="1:19">
      <c r="A77" s="292"/>
      <c r="B77" s="293"/>
      <c r="C77" s="285"/>
      <c r="D77" s="285"/>
      <c r="E77" s="285"/>
      <c r="F77" s="285"/>
      <c r="G77" s="285"/>
      <c r="H77" s="285"/>
      <c r="I77" s="285"/>
      <c r="J77" s="285"/>
      <c r="K77" s="285"/>
      <c r="L77" s="294"/>
      <c r="M77" s="285"/>
      <c r="N77" s="244">
        <f>K77*M77</f>
        <v>0</v>
      </c>
      <c r="O77" s="287">
        <f>L77*M77</f>
        <v>0</v>
      </c>
      <c r="P77" s="296">
        <f>N77-O77</f>
        <v>0</v>
      </c>
      <c r="R77" s="227"/>
      <c r="S77" s="228"/>
    </row>
    <row r="78" spans="1:19">
      <c r="A78" s="297"/>
      <c r="B78" s="293"/>
      <c r="C78" s="285"/>
      <c r="D78" s="285"/>
      <c r="E78" s="285"/>
      <c r="F78" s="285"/>
      <c r="G78" s="285"/>
      <c r="H78" s="285"/>
      <c r="I78" s="285"/>
      <c r="J78" s="285"/>
      <c r="K78" s="285"/>
      <c r="L78" s="294"/>
      <c r="M78" s="285"/>
      <c r="N78" s="244">
        <f>K78*M78</f>
        <v>0</v>
      </c>
      <c r="O78" s="287">
        <f>L78*M78</f>
        <v>0</v>
      </c>
      <c r="P78" s="298">
        <f>N78-O78</f>
        <v>0</v>
      </c>
      <c r="R78" s="299"/>
      <c r="S78" s="300"/>
    </row>
    <row r="79" spans="1:19" ht="19.5" thickBot="1">
      <c r="A79" s="301" t="s">
        <v>26</v>
      </c>
      <c r="B79" s="302" t="s">
        <v>205</v>
      </c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4" t="s">
        <v>206</v>
      </c>
      <c r="N79" s="305">
        <f>SUM(N4:N78)</f>
        <v>0</v>
      </c>
      <c r="O79" s="306">
        <f>SUM(O4:O78)</f>
        <v>0</v>
      </c>
      <c r="P79" s="307">
        <f>SUM(P4:P78)</f>
        <v>0</v>
      </c>
      <c r="R79" s="308" t="s">
        <v>26</v>
      </c>
      <c r="S79" s="309">
        <f>SUM(S4:S78)</f>
        <v>0</v>
      </c>
    </row>
    <row r="80" spans="1:19">
      <c r="S80" s="60"/>
    </row>
    <row r="81" spans="19:19">
      <c r="S81" s="60"/>
    </row>
  </sheetData>
  <mergeCells count="4">
    <mergeCell ref="B2:B3"/>
    <mergeCell ref="C2:C3"/>
    <mergeCell ref="D2:J2"/>
    <mergeCell ref="M2:M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EE8A-8ABE-432B-A263-978D398D525D}">
  <sheetPr>
    <pageSetUpPr fitToPage="1"/>
  </sheetPr>
  <dimension ref="A1:T79"/>
  <sheetViews>
    <sheetView view="pageBreakPreview" topLeftCell="B1" zoomScaleNormal="100" workbookViewId="0">
      <pane xSplit="2" ySplit="3" topLeftCell="D4" activePane="bottomRight" state="frozen"/>
      <selection activeCell="I19" sqref="I19"/>
      <selection pane="topRight" activeCell="I19" sqref="I19"/>
      <selection pane="bottomLeft" activeCell="I19" sqref="I19"/>
      <selection pane="bottomRight" activeCell="F45" sqref="F45"/>
    </sheetView>
  </sheetViews>
  <sheetFormatPr defaultRowHeight="13.5"/>
  <cols>
    <col min="1" max="1" width="0" style="180" hidden="1" customWidth="1"/>
    <col min="2" max="3" width="9.625" style="180" customWidth="1"/>
    <col min="4" max="13" width="7.625" style="180" customWidth="1"/>
    <col min="14" max="14" width="10.625" style="457" customWidth="1"/>
    <col min="15" max="16" width="10.625" style="180" customWidth="1"/>
    <col min="17" max="17" width="9" style="180"/>
    <col min="18" max="19" width="12.625" style="310" customWidth="1"/>
    <col min="20" max="20" width="12.625" style="193" customWidth="1"/>
    <col min="21" max="256" width="9" style="180"/>
    <col min="257" max="257" width="0" style="180" hidden="1" customWidth="1"/>
    <col min="258" max="259" width="9.625" style="180" customWidth="1"/>
    <col min="260" max="269" width="7.625" style="180" customWidth="1"/>
    <col min="270" max="272" width="10.625" style="180" customWidth="1"/>
    <col min="273" max="512" width="9" style="180"/>
    <col min="513" max="513" width="0" style="180" hidden="1" customWidth="1"/>
    <col min="514" max="515" width="9.625" style="180" customWidth="1"/>
    <col min="516" max="525" width="7.625" style="180" customWidth="1"/>
    <col min="526" max="528" width="10.625" style="180" customWidth="1"/>
    <col min="529" max="768" width="9" style="180"/>
    <col min="769" max="769" width="0" style="180" hidden="1" customWidth="1"/>
    <col min="770" max="771" width="9.625" style="180" customWidth="1"/>
    <col min="772" max="781" width="7.625" style="180" customWidth="1"/>
    <col min="782" max="784" width="10.625" style="180" customWidth="1"/>
    <col min="785" max="1024" width="9" style="180"/>
    <col min="1025" max="1025" width="0" style="180" hidden="1" customWidth="1"/>
    <col min="1026" max="1027" width="9.625" style="180" customWidth="1"/>
    <col min="1028" max="1037" width="7.625" style="180" customWidth="1"/>
    <col min="1038" max="1040" width="10.625" style="180" customWidth="1"/>
    <col min="1041" max="1280" width="9" style="180"/>
    <col min="1281" max="1281" width="0" style="180" hidden="1" customWidth="1"/>
    <col min="1282" max="1283" width="9.625" style="180" customWidth="1"/>
    <col min="1284" max="1293" width="7.625" style="180" customWidth="1"/>
    <col min="1294" max="1296" width="10.625" style="180" customWidth="1"/>
    <col min="1297" max="1536" width="9" style="180"/>
    <col min="1537" max="1537" width="0" style="180" hidden="1" customWidth="1"/>
    <col min="1538" max="1539" width="9.625" style="180" customWidth="1"/>
    <col min="1540" max="1549" width="7.625" style="180" customWidth="1"/>
    <col min="1550" max="1552" width="10.625" style="180" customWidth="1"/>
    <col min="1553" max="1792" width="9" style="180"/>
    <col min="1793" max="1793" width="0" style="180" hidden="1" customWidth="1"/>
    <col min="1794" max="1795" width="9.625" style="180" customWidth="1"/>
    <col min="1796" max="1805" width="7.625" style="180" customWidth="1"/>
    <col min="1806" max="1808" width="10.625" style="180" customWidth="1"/>
    <col min="1809" max="2048" width="9" style="180"/>
    <col min="2049" max="2049" width="0" style="180" hidden="1" customWidth="1"/>
    <col min="2050" max="2051" width="9.625" style="180" customWidth="1"/>
    <col min="2052" max="2061" width="7.625" style="180" customWidth="1"/>
    <col min="2062" max="2064" width="10.625" style="180" customWidth="1"/>
    <col min="2065" max="2304" width="9" style="180"/>
    <col min="2305" max="2305" width="0" style="180" hidden="1" customWidth="1"/>
    <col min="2306" max="2307" width="9.625" style="180" customWidth="1"/>
    <col min="2308" max="2317" width="7.625" style="180" customWidth="1"/>
    <col min="2318" max="2320" width="10.625" style="180" customWidth="1"/>
    <col min="2321" max="2560" width="9" style="180"/>
    <col min="2561" max="2561" width="0" style="180" hidden="1" customWidth="1"/>
    <col min="2562" max="2563" width="9.625" style="180" customWidth="1"/>
    <col min="2564" max="2573" width="7.625" style="180" customWidth="1"/>
    <col min="2574" max="2576" width="10.625" style="180" customWidth="1"/>
    <col min="2577" max="2816" width="9" style="180"/>
    <col min="2817" max="2817" width="0" style="180" hidden="1" customWidth="1"/>
    <col min="2818" max="2819" width="9.625" style="180" customWidth="1"/>
    <col min="2820" max="2829" width="7.625" style="180" customWidth="1"/>
    <col min="2830" max="2832" width="10.625" style="180" customWidth="1"/>
    <col min="2833" max="3072" width="9" style="180"/>
    <col min="3073" max="3073" width="0" style="180" hidden="1" customWidth="1"/>
    <col min="3074" max="3075" width="9.625" style="180" customWidth="1"/>
    <col min="3076" max="3085" width="7.625" style="180" customWidth="1"/>
    <col min="3086" max="3088" width="10.625" style="180" customWidth="1"/>
    <col min="3089" max="3328" width="9" style="180"/>
    <col min="3329" max="3329" width="0" style="180" hidden="1" customWidth="1"/>
    <col min="3330" max="3331" width="9.625" style="180" customWidth="1"/>
    <col min="3332" max="3341" width="7.625" style="180" customWidth="1"/>
    <col min="3342" max="3344" width="10.625" style="180" customWidth="1"/>
    <col min="3345" max="3584" width="9" style="180"/>
    <col min="3585" max="3585" width="0" style="180" hidden="1" customWidth="1"/>
    <col min="3586" max="3587" width="9.625" style="180" customWidth="1"/>
    <col min="3588" max="3597" width="7.625" style="180" customWidth="1"/>
    <col min="3598" max="3600" width="10.625" style="180" customWidth="1"/>
    <col min="3601" max="3840" width="9" style="180"/>
    <col min="3841" max="3841" width="0" style="180" hidden="1" customWidth="1"/>
    <col min="3842" max="3843" width="9.625" style="180" customWidth="1"/>
    <col min="3844" max="3853" width="7.625" style="180" customWidth="1"/>
    <col min="3854" max="3856" width="10.625" style="180" customWidth="1"/>
    <col min="3857" max="4096" width="9" style="180"/>
    <col min="4097" max="4097" width="0" style="180" hidden="1" customWidth="1"/>
    <col min="4098" max="4099" width="9.625" style="180" customWidth="1"/>
    <col min="4100" max="4109" width="7.625" style="180" customWidth="1"/>
    <col min="4110" max="4112" width="10.625" style="180" customWidth="1"/>
    <col min="4113" max="4352" width="9" style="180"/>
    <col min="4353" max="4353" width="0" style="180" hidden="1" customWidth="1"/>
    <col min="4354" max="4355" width="9.625" style="180" customWidth="1"/>
    <col min="4356" max="4365" width="7.625" style="180" customWidth="1"/>
    <col min="4366" max="4368" width="10.625" style="180" customWidth="1"/>
    <col min="4369" max="4608" width="9" style="180"/>
    <col min="4609" max="4609" width="0" style="180" hidden="1" customWidth="1"/>
    <col min="4610" max="4611" width="9.625" style="180" customWidth="1"/>
    <col min="4612" max="4621" width="7.625" style="180" customWidth="1"/>
    <col min="4622" max="4624" width="10.625" style="180" customWidth="1"/>
    <col min="4625" max="4864" width="9" style="180"/>
    <col min="4865" max="4865" width="0" style="180" hidden="1" customWidth="1"/>
    <col min="4866" max="4867" width="9.625" style="180" customWidth="1"/>
    <col min="4868" max="4877" width="7.625" style="180" customWidth="1"/>
    <col min="4878" max="4880" width="10.625" style="180" customWidth="1"/>
    <col min="4881" max="5120" width="9" style="180"/>
    <col min="5121" max="5121" width="0" style="180" hidden="1" customWidth="1"/>
    <col min="5122" max="5123" width="9.625" style="180" customWidth="1"/>
    <col min="5124" max="5133" width="7.625" style="180" customWidth="1"/>
    <col min="5134" max="5136" width="10.625" style="180" customWidth="1"/>
    <col min="5137" max="5376" width="9" style="180"/>
    <col min="5377" max="5377" width="0" style="180" hidden="1" customWidth="1"/>
    <col min="5378" max="5379" width="9.625" style="180" customWidth="1"/>
    <col min="5380" max="5389" width="7.625" style="180" customWidth="1"/>
    <col min="5390" max="5392" width="10.625" style="180" customWidth="1"/>
    <col min="5393" max="5632" width="9" style="180"/>
    <col min="5633" max="5633" width="0" style="180" hidden="1" customWidth="1"/>
    <col min="5634" max="5635" width="9.625" style="180" customWidth="1"/>
    <col min="5636" max="5645" width="7.625" style="180" customWidth="1"/>
    <col min="5646" max="5648" width="10.625" style="180" customWidth="1"/>
    <col min="5649" max="5888" width="9" style="180"/>
    <col min="5889" max="5889" width="0" style="180" hidden="1" customWidth="1"/>
    <col min="5890" max="5891" width="9.625" style="180" customWidth="1"/>
    <col min="5892" max="5901" width="7.625" style="180" customWidth="1"/>
    <col min="5902" max="5904" width="10.625" style="180" customWidth="1"/>
    <col min="5905" max="6144" width="9" style="180"/>
    <col min="6145" max="6145" width="0" style="180" hidden="1" customWidth="1"/>
    <col min="6146" max="6147" width="9.625" style="180" customWidth="1"/>
    <col min="6148" max="6157" width="7.625" style="180" customWidth="1"/>
    <col min="6158" max="6160" width="10.625" style="180" customWidth="1"/>
    <col min="6161" max="6400" width="9" style="180"/>
    <col min="6401" max="6401" width="0" style="180" hidden="1" customWidth="1"/>
    <col min="6402" max="6403" width="9.625" style="180" customWidth="1"/>
    <col min="6404" max="6413" width="7.625" style="180" customWidth="1"/>
    <col min="6414" max="6416" width="10.625" style="180" customWidth="1"/>
    <col min="6417" max="6656" width="9" style="180"/>
    <col min="6657" max="6657" width="0" style="180" hidden="1" customWidth="1"/>
    <col min="6658" max="6659" width="9.625" style="180" customWidth="1"/>
    <col min="6660" max="6669" width="7.625" style="180" customWidth="1"/>
    <col min="6670" max="6672" width="10.625" style="180" customWidth="1"/>
    <col min="6673" max="6912" width="9" style="180"/>
    <col min="6913" max="6913" width="0" style="180" hidden="1" customWidth="1"/>
    <col min="6914" max="6915" width="9.625" style="180" customWidth="1"/>
    <col min="6916" max="6925" width="7.625" style="180" customWidth="1"/>
    <col min="6926" max="6928" width="10.625" style="180" customWidth="1"/>
    <col min="6929" max="7168" width="9" style="180"/>
    <col min="7169" max="7169" width="0" style="180" hidden="1" customWidth="1"/>
    <col min="7170" max="7171" width="9.625" style="180" customWidth="1"/>
    <col min="7172" max="7181" width="7.625" style="180" customWidth="1"/>
    <col min="7182" max="7184" width="10.625" style="180" customWidth="1"/>
    <col min="7185" max="7424" width="9" style="180"/>
    <col min="7425" max="7425" width="0" style="180" hidden="1" customWidth="1"/>
    <col min="7426" max="7427" width="9.625" style="180" customWidth="1"/>
    <col min="7428" max="7437" width="7.625" style="180" customWidth="1"/>
    <col min="7438" max="7440" width="10.625" style="180" customWidth="1"/>
    <col min="7441" max="7680" width="9" style="180"/>
    <col min="7681" max="7681" width="0" style="180" hidden="1" customWidth="1"/>
    <col min="7682" max="7683" width="9.625" style="180" customWidth="1"/>
    <col min="7684" max="7693" width="7.625" style="180" customWidth="1"/>
    <col min="7694" max="7696" width="10.625" style="180" customWidth="1"/>
    <col min="7697" max="7936" width="9" style="180"/>
    <col min="7937" max="7937" width="0" style="180" hidden="1" customWidth="1"/>
    <col min="7938" max="7939" width="9.625" style="180" customWidth="1"/>
    <col min="7940" max="7949" width="7.625" style="180" customWidth="1"/>
    <col min="7950" max="7952" width="10.625" style="180" customWidth="1"/>
    <col min="7953" max="8192" width="9" style="180"/>
    <col min="8193" max="8193" width="0" style="180" hidden="1" customWidth="1"/>
    <col min="8194" max="8195" width="9.625" style="180" customWidth="1"/>
    <col min="8196" max="8205" width="7.625" style="180" customWidth="1"/>
    <col min="8206" max="8208" width="10.625" style="180" customWidth="1"/>
    <col min="8209" max="8448" width="9" style="180"/>
    <col min="8449" max="8449" width="0" style="180" hidden="1" customWidth="1"/>
    <col min="8450" max="8451" width="9.625" style="180" customWidth="1"/>
    <col min="8452" max="8461" width="7.625" style="180" customWidth="1"/>
    <col min="8462" max="8464" width="10.625" style="180" customWidth="1"/>
    <col min="8465" max="8704" width="9" style="180"/>
    <col min="8705" max="8705" width="0" style="180" hidden="1" customWidth="1"/>
    <col min="8706" max="8707" width="9.625" style="180" customWidth="1"/>
    <col min="8708" max="8717" width="7.625" style="180" customWidth="1"/>
    <col min="8718" max="8720" width="10.625" style="180" customWidth="1"/>
    <col min="8721" max="8960" width="9" style="180"/>
    <col min="8961" max="8961" width="0" style="180" hidden="1" customWidth="1"/>
    <col min="8962" max="8963" width="9.625" style="180" customWidth="1"/>
    <col min="8964" max="8973" width="7.625" style="180" customWidth="1"/>
    <col min="8974" max="8976" width="10.625" style="180" customWidth="1"/>
    <col min="8977" max="9216" width="9" style="180"/>
    <col min="9217" max="9217" width="0" style="180" hidden="1" customWidth="1"/>
    <col min="9218" max="9219" width="9.625" style="180" customWidth="1"/>
    <col min="9220" max="9229" width="7.625" style="180" customWidth="1"/>
    <col min="9230" max="9232" width="10.625" style="180" customWidth="1"/>
    <col min="9233" max="9472" width="9" style="180"/>
    <col min="9473" max="9473" width="0" style="180" hidden="1" customWidth="1"/>
    <col min="9474" max="9475" width="9.625" style="180" customWidth="1"/>
    <col min="9476" max="9485" width="7.625" style="180" customWidth="1"/>
    <col min="9486" max="9488" width="10.625" style="180" customWidth="1"/>
    <col min="9489" max="9728" width="9" style="180"/>
    <col min="9729" max="9729" width="0" style="180" hidden="1" customWidth="1"/>
    <col min="9730" max="9731" width="9.625" style="180" customWidth="1"/>
    <col min="9732" max="9741" width="7.625" style="180" customWidth="1"/>
    <col min="9742" max="9744" width="10.625" style="180" customWidth="1"/>
    <col min="9745" max="9984" width="9" style="180"/>
    <col min="9985" max="9985" width="0" style="180" hidden="1" customWidth="1"/>
    <col min="9986" max="9987" width="9.625" style="180" customWidth="1"/>
    <col min="9988" max="9997" width="7.625" style="180" customWidth="1"/>
    <col min="9998" max="10000" width="10.625" style="180" customWidth="1"/>
    <col min="10001" max="10240" width="9" style="180"/>
    <col min="10241" max="10241" width="0" style="180" hidden="1" customWidth="1"/>
    <col min="10242" max="10243" width="9.625" style="180" customWidth="1"/>
    <col min="10244" max="10253" width="7.625" style="180" customWidth="1"/>
    <col min="10254" max="10256" width="10.625" style="180" customWidth="1"/>
    <col min="10257" max="10496" width="9" style="180"/>
    <col min="10497" max="10497" width="0" style="180" hidden="1" customWidth="1"/>
    <col min="10498" max="10499" width="9.625" style="180" customWidth="1"/>
    <col min="10500" max="10509" width="7.625" style="180" customWidth="1"/>
    <col min="10510" max="10512" width="10.625" style="180" customWidth="1"/>
    <col min="10513" max="10752" width="9" style="180"/>
    <col min="10753" max="10753" width="0" style="180" hidden="1" customWidth="1"/>
    <col min="10754" max="10755" width="9.625" style="180" customWidth="1"/>
    <col min="10756" max="10765" width="7.625" style="180" customWidth="1"/>
    <col min="10766" max="10768" width="10.625" style="180" customWidth="1"/>
    <col min="10769" max="11008" width="9" style="180"/>
    <col min="11009" max="11009" width="0" style="180" hidden="1" customWidth="1"/>
    <col min="11010" max="11011" width="9.625" style="180" customWidth="1"/>
    <col min="11012" max="11021" width="7.625" style="180" customWidth="1"/>
    <col min="11022" max="11024" width="10.625" style="180" customWidth="1"/>
    <col min="11025" max="11264" width="9" style="180"/>
    <col min="11265" max="11265" width="0" style="180" hidden="1" customWidth="1"/>
    <col min="11266" max="11267" width="9.625" style="180" customWidth="1"/>
    <col min="11268" max="11277" width="7.625" style="180" customWidth="1"/>
    <col min="11278" max="11280" width="10.625" style="180" customWidth="1"/>
    <col min="11281" max="11520" width="9" style="180"/>
    <col min="11521" max="11521" width="0" style="180" hidden="1" customWidth="1"/>
    <col min="11522" max="11523" width="9.625" style="180" customWidth="1"/>
    <col min="11524" max="11533" width="7.625" style="180" customWidth="1"/>
    <col min="11534" max="11536" width="10.625" style="180" customWidth="1"/>
    <col min="11537" max="11776" width="9" style="180"/>
    <col min="11777" max="11777" width="0" style="180" hidden="1" customWidth="1"/>
    <col min="11778" max="11779" width="9.625" style="180" customWidth="1"/>
    <col min="11780" max="11789" width="7.625" style="180" customWidth="1"/>
    <col min="11790" max="11792" width="10.625" style="180" customWidth="1"/>
    <col min="11793" max="12032" width="9" style="180"/>
    <col min="12033" max="12033" width="0" style="180" hidden="1" customWidth="1"/>
    <col min="12034" max="12035" width="9.625" style="180" customWidth="1"/>
    <col min="12036" max="12045" width="7.625" style="180" customWidth="1"/>
    <col min="12046" max="12048" width="10.625" style="180" customWidth="1"/>
    <col min="12049" max="12288" width="9" style="180"/>
    <col min="12289" max="12289" width="0" style="180" hidden="1" customWidth="1"/>
    <col min="12290" max="12291" width="9.625" style="180" customWidth="1"/>
    <col min="12292" max="12301" width="7.625" style="180" customWidth="1"/>
    <col min="12302" max="12304" width="10.625" style="180" customWidth="1"/>
    <col min="12305" max="12544" width="9" style="180"/>
    <col min="12545" max="12545" width="0" style="180" hidden="1" customWidth="1"/>
    <col min="12546" max="12547" width="9.625" style="180" customWidth="1"/>
    <col min="12548" max="12557" width="7.625" style="180" customWidth="1"/>
    <col min="12558" max="12560" width="10.625" style="180" customWidth="1"/>
    <col min="12561" max="12800" width="9" style="180"/>
    <col min="12801" max="12801" width="0" style="180" hidden="1" customWidth="1"/>
    <col min="12802" max="12803" width="9.625" style="180" customWidth="1"/>
    <col min="12804" max="12813" width="7.625" style="180" customWidth="1"/>
    <col min="12814" max="12816" width="10.625" style="180" customWidth="1"/>
    <col min="12817" max="13056" width="9" style="180"/>
    <col min="13057" max="13057" width="0" style="180" hidden="1" customWidth="1"/>
    <col min="13058" max="13059" width="9.625" style="180" customWidth="1"/>
    <col min="13060" max="13069" width="7.625" style="180" customWidth="1"/>
    <col min="13070" max="13072" width="10.625" style="180" customWidth="1"/>
    <col min="13073" max="13312" width="9" style="180"/>
    <col min="13313" max="13313" width="0" style="180" hidden="1" customWidth="1"/>
    <col min="13314" max="13315" width="9.625" style="180" customWidth="1"/>
    <col min="13316" max="13325" width="7.625" style="180" customWidth="1"/>
    <col min="13326" max="13328" width="10.625" style="180" customWidth="1"/>
    <col min="13329" max="13568" width="9" style="180"/>
    <col min="13569" max="13569" width="0" style="180" hidden="1" customWidth="1"/>
    <col min="13570" max="13571" width="9.625" style="180" customWidth="1"/>
    <col min="13572" max="13581" width="7.625" style="180" customWidth="1"/>
    <col min="13582" max="13584" width="10.625" style="180" customWidth="1"/>
    <col min="13585" max="13824" width="9" style="180"/>
    <col min="13825" max="13825" width="0" style="180" hidden="1" customWidth="1"/>
    <col min="13826" max="13827" width="9.625" style="180" customWidth="1"/>
    <col min="13828" max="13837" width="7.625" style="180" customWidth="1"/>
    <col min="13838" max="13840" width="10.625" style="180" customWidth="1"/>
    <col min="13841" max="14080" width="9" style="180"/>
    <col min="14081" max="14081" width="0" style="180" hidden="1" customWidth="1"/>
    <col min="14082" max="14083" width="9.625" style="180" customWidth="1"/>
    <col min="14084" max="14093" width="7.625" style="180" customWidth="1"/>
    <col min="14094" max="14096" width="10.625" style="180" customWidth="1"/>
    <col min="14097" max="14336" width="9" style="180"/>
    <col min="14337" max="14337" width="0" style="180" hidden="1" customWidth="1"/>
    <col min="14338" max="14339" width="9.625" style="180" customWidth="1"/>
    <col min="14340" max="14349" width="7.625" style="180" customWidth="1"/>
    <col min="14350" max="14352" width="10.625" style="180" customWidth="1"/>
    <col min="14353" max="14592" width="9" style="180"/>
    <col min="14593" max="14593" width="0" style="180" hidden="1" customWidth="1"/>
    <col min="14594" max="14595" width="9.625" style="180" customWidth="1"/>
    <col min="14596" max="14605" width="7.625" style="180" customWidth="1"/>
    <col min="14606" max="14608" width="10.625" style="180" customWidth="1"/>
    <col min="14609" max="14848" width="9" style="180"/>
    <col min="14849" max="14849" width="0" style="180" hidden="1" customWidth="1"/>
    <col min="14850" max="14851" width="9.625" style="180" customWidth="1"/>
    <col min="14852" max="14861" width="7.625" style="180" customWidth="1"/>
    <col min="14862" max="14864" width="10.625" style="180" customWidth="1"/>
    <col min="14865" max="15104" width="9" style="180"/>
    <col min="15105" max="15105" width="0" style="180" hidden="1" customWidth="1"/>
    <col min="15106" max="15107" width="9.625" style="180" customWidth="1"/>
    <col min="15108" max="15117" width="7.625" style="180" customWidth="1"/>
    <col min="15118" max="15120" width="10.625" style="180" customWidth="1"/>
    <col min="15121" max="15360" width="9" style="180"/>
    <col min="15361" max="15361" width="0" style="180" hidden="1" customWidth="1"/>
    <col min="15362" max="15363" width="9.625" style="180" customWidth="1"/>
    <col min="15364" max="15373" width="7.625" style="180" customWidth="1"/>
    <col min="15374" max="15376" width="10.625" style="180" customWidth="1"/>
    <col min="15377" max="15616" width="9" style="180"/>
    <col min="15617" max="15617" width="0" style="180" hidden="1" customWidth="1"/>
    <col min="15618" max="15619" width="9.625" style="180" customWidth="1"/>
    <col min="15620" max="15629" width="7.625" style="180" customWidth="1"/>
    <col min="15630" max="15632" width="10.625" style="180" customWidth="1"/>
    <col min="15633" max="15872" width="9" style="180"/>
    <col min="15873" max="15873" width="0" style="180" hidden="1" customWidth="1"/>
    <col min="15874" max="15875" width="9.625" style="180" customWidth="1"/>
    <col min="15876" max="15885" width="7.625" style="180" customWidth="1"/>
    <col min="15886" max="15888" width="10.625" style="180" customWidth="1"/>
    <col min="15889" max="16128" width="9" style="180"/>
    <col min="16129" max="16129" width="0" style="180" hidden="1" customWidth="1"/>
    <col min="16130" max="16131" width="9.625" style="180" customWidth="1"/>
    <col min="16132" max="16141" width="7.625" style="180" customWidth="1"/>
    <col min="16142" max="16144" width="10.625" style="180" customWidth="1"/>
    <col min="16145" max="16384" width="9" style="180"/>
  </cols>
  <sheetData>
    <row r="1" spans="1:20" ht="18" thickBot="1">
      <c r="A1" s="181"/>
      <c r="B1" s="181"/>
      <c r="C1" s="177"/>
      <c r="D1" s="178"/>
      <c r="E1" s="178"/>
      <c r="F1" s="179" t="s">
        <v>207</v>
      </c>
      <c r="G1" s="178"/>
      <c r="J1" s="178"/>
      <c r="K1" s="178"/>
      <c r="L1" s="181" t="s">
        <v>168</v>
      </c>
      <c r="M1" s="183" t="e">
        <f>#REF!</f>
        <v>#REF!</v>
      </c>
      <c r="N1" s="184"/>
      <c r="O1" s="184"/>
      <c r="P1" s="184"/>
      <c r="Q1" s="178"/>
      <c r="R1" s="185"/>
      <c r="S1" s="185"/>
      <c r="T1" s="186"/>
    </row>
    <row r="2" spans="1:20" ht="27">
      <c r="A2" s="187"/>
      <c r="B2" s="792" t="s">
        <v>169</v>
      </c>
      <c r="C2" s="794" t="s">
        <v>170</v>
      </c>
      <c r="D2" s="801" t="s">
        <v>171</v>
      </c>
      <c r="E2" s="802"/>
      <c r="F2" s="802"/>
      <c r="G2" s="802"/>
      <c r="H2" s="802"/>
      <c r="I2" s="802"/>
      <c r="J2" s="803"/>
      <c r="K2" s="188" t="s">
        <v>172</v>
      </c>
      <c r="L2" s="189" t="s">
        <v>173</v>
      </c>
      <c r="M2" s="799" t="s">
        <v>208</v>
      </c>
      <c r="N2" s="311" t="s">
        <v>175</v>
      </c>
      <c r="O2" s="190" t="s">
        <v>176</v>
      </c>
      <c r="P2" s="191" t="s">
        <v>177</v>
      </c>
      <c r="R2" s="64" t="s">
        <v>83</v>
      </c>
      <c r="S2" s="192" t="s">
        <v>73</v>
      </c>
    </row>
    <row r="3" spans="1:20" ht="27.75" thickBot="1">
      <c r="A3" s="194" t="s">
        <v>178</v>
      </c>
      <c r="B3" s="793"/>
      <c r="C3" s="795"/>
      <c r="D3" s="195"/>
      <c r="E3" s="196"/>
      <c r="F3" s="312"/>
      <c r="G3" s="196"/>
      <c r="H3" s="196"/>
      <c r="I3" s="312"/>
      <c r="J3" s="312"/>
      <c r="K3" s="197" t="s">
        <v>179</v>
      </c>
      <c r="L3" s="198" t="s">
        <v>180</v>
      </c>
      <c r="M3" s="800"/>
      <c r="N3" s="313" t="s">
        <v>181</v>
      </c>
      <c r="O3" s="200" t="s">
        <v>182</v>
      </c>
      <c r="P3" s="201" t="s">
        <v>183</v>
      </c>
      <c r="R3" s="202"/>
      <c r="S3" s="203" t="s">
        <v>88</v>
      </c>
    </row>
    <row r="4" spans="1:20">
      <c r="A4" s="314" t="s">
        <v>184</v>
      </c>
      <c r="B4" s="315" t="s">
        <v>209</v>
      </c>
      <c r="C4" s="316" t="s">
        <v>210</v>
      </c>
      <c r="D4" s="317"/>
      <c r="E4" s="317"/>
      <c r="F4" s="317"/>
      <c r="G4" s="317"/>
      <c r="H4" s="318"/>
      <c r="I4" s="318"/>
      <c r="J4" s="318"/>
      <c r="K4" s="319">
        <v>0.15</v>
      </c>
      <c r="L4" s="320">
        <v>4.1329999999999999E-2</v>
      </c>
      <c r="M4" s="321">
        <f>SUM(D4:J4)</f>
        <v>0</v>
      </c>
      <c r="N4" s="322">
        <f t="shared" ref="N4:N30" si="0">K4*M4</f>
        <v>0</v>
      </c>
      <c r="O4" s="323">
        <f>L4*M4</f>
        <v>0</v>
      </c>
      <c r="P4" s="324">
        <f>N4-O4</f>
        <v>0</v>
      </c>
      <c r="R4" s="214"/>
      <c r="S4" s="215"/>
    </row>
    <row r="5" spans="1:20">
      <c r="A5" s="216" t="s">
        <v>186</v>
      </c>
      <c r="B5" s="194"/>
      <c r="C5" s="325"/>
      <c r="D5" s="325"/>
      <c r="E5" s="325"/>
      <c r="F5" s="325"/>
      <c r="G5" s="325"/>
      <c r="H5" s="325"/>
      <c r="I5" s="325"/>
      <c r="J5" s="325"/>
      <c r="K5" s="326"/>
      <c r="L5" s="327"/>
      <c r="M5" s="328"/>
      <c r="N5" s="329"/>
      <c r="O5" s="330"/>
      <c r="P5" s="331"/>
      <c r="R5" s="227"/>
      <c r="S5" s="228"/>
    </row>
    <row r="6" spans="1:20">
      <c r="A6" s="216" t="s">
        <v>189</v>
      </c>
      <c r="B6" s="332" t="s">
        <v>211</v>
      </c>
      <c r="C6" s="333" t="s">
        <v>212</v>
      </c>
      <c r="D6" s="334"/>
      <c r="E6" s="334"/>
      <c r="F6" s="334"/>
      <c r="G6" s="334"/>
      <c r="H6" s="250"/>
      <c r="I6" s="250"/>
      <c r="J6" s="250"/>
      <c r="K6" s="251">
        <v>0.13</v>
      </c>
      <c r="L6" s="335">
        <v>3.6700000000000003E-2</v>
      </c>
      <c r="M6" s="336">
        <f t="shared" ref="M6:M17" si="1">SUM(D6:J6)</f>
        <v>0</v>
      </c>
      <c r="N6" s="337">
        <f t="shared" si="0"/>
        <v>0</v>
      </c>
      <c r="O6" s="338">
        <f>L6*M6</f>
        <v>0</v>
      </c>
      <c r="P6" s="339">
        <f>M6*N6</f>
        <v>0</v>
      </c>
      <c r="Q6" s="340"/>
      <c r="R6" s="227">
        <v>7.6937850000000018E-5</v>
      </c>
      <c r="S6" s="228">
        <f>M6*R6</f>
        <v>0</v>
      </c>
    </row>
    <row r="7" spans="1:20">
      <c r="A7" s="216" t="s">
        <v>189</v>
      </c>
      <c r="B7" s="341" t="s">
        <v>187</v>
      </c>
      <c r="C7" s="342" t="s">
        <v>213</v>
      </c>
      <c r="D7" s="343"/>
      <c r="E7" s="343"/>
      <c r="F7" s="343"/>
      <c r="G7" s="343"/>
      <c r="H7" s="220"/>
      <c r="I7" s="220"/>
      <c r="J7" s="220"/>
      <c r="K7" s="221">
        <v>0.16</v>
      </c>
      <c r="L7" s="344">
        <v>5.5E-2</v>
      </c>
      <c r="M7" s="345">
        <f t="shared" si="1"/>
        <v>0</v>
      </c>
      <c r="N7" s="346">
        <f t="shared" si="0"/>
        <v>0</v>
      </c>
      <c r="O7" s="347">
        <f t="shared" ref="O7:O17" si="2">L7*M7</f>
        <v>0</v>
      </c>
      <c r="P7" s="348">
        <f>N7-O7</f>
        <v>0</v>
      </c>
      <c r="R7" s="227">
        <v>8.6546250000000012E-5</v>
      </c>
      <c r="S7" s="228"/>
    </row>
    <row r="8" spans="1:20">
      <c r="A8" s="216" t="s">
        <v>189</v>
      </c>
      <c r="B8" s="341" t="s">
        <v>187</v>
      </c>
      <c r="C8" s="342" t="s">
        <v>210</v>
      </c>
      <c r="D8" s="343"/>
      <c r="E8" s="343"/>
      <c r="F8" s="343"/>
      <c r="G8" s="343"/>
      <c r="H8" s="220"/>
      <c r="I8" s="220"/>
      <c r="J8" s="220"/>
      <c r="K8" s="221">
        <v>0.2</v>
      </c>
      <c r="L8" s="344">
        <v>7.3300000000000004E-2</v>
      </c>
      <c r="M8" s="345">
        <f t="shared" si="1"/>
        <v>0</v>
      </c>
      <c r="N8" s="346">
        <f t="shared" si="0"/>
        <v>0</v>
      </c>
      <c r="O8" s="347">
        <f t="shared" si="2"/>
        <v>0</v>
      </c>
      <c r="P8" s="348">
        <f>N8-O8</f>
        <v>0</v>
      </c>
      <c r="R8" s="227">
        <v>1.0381625E-4</v>
      </c>
      <c r="S8" s="228">
        <f t="shared" ref="S8:S11" si="3">M8*R8</f>
        <v>0</v>
      </c>
    </row>
    <row r="9" spans="1:20">
      <c r="A9" s="216" t="s">
        <v>189</v>
      </c>
      <c r="B9" s="341" t="s">
        <v>187</v>
      </c>
      <c r="C9" s="342" t="s">
        <v>214</v>
      </c>
      <c r="D9" s="343"/>
      <c r="E9" s="343"/>
      <c r="F9" s="343"/>
      <c r="G9" s="343"/>
      <c r="H9" s="220"/>
      <c r="I9" s="220"/>
      <c r="J9" s="220"/>
      <c r="K9" s="221">
        <v>0.24</v>
      </c>
      <c r="L9" s="344">
        <v>9.1329999999999995E-2</v>
      </c>
      <c r="M9" s="345">
        <f t="shared" si="1"/>
        <v>0</v>
      </c>
      <c r="N9" s="346">
        <f t="shared" si="0"/>
        <v>0</v>
      </c>
      <c r="O9" s="347">
        <f t="shared" si="2"/>
        <v>0</v>
      </c>
      <c r="P9" s="348">
        <f t="shared" ref="P9:P72" si="4">N9-O9</f>
        <v>0</v>
      </c>
      <c r="R9" s="227">
        <v>1.2265625000000002E-4</v>
      </c>
      <c r="S9" s="228">
        <f t="shared" si="3"/>
        <v>0</v>
      </c>
    </row>
    <row r="10" spans="1:20">
      <c r="A10" s="216" t="s">
        <v>189</v>
      </c>
      <c r="B10" s="341" t="s">
        <v>187</v>
      </c>
      <c r="C10" s="342" t="s">
        <v>215</v>
      </c>
      <c r="D10" s="343"/>
      <c r="E10" s="343"/>
      <c r="F10" s="343"/>
      <c r="G10" s="343"/>
      <c r="H10" s="220"/>
      <c r="I10" s="220"/>
      <c r="J10" s="220"/>
      <c r="K10" s="221">
        <v>0.28000000000000003</v>
      </c>
      <c r="L10" s="344">
        <v>0.10933</v>
      </c>
      <c r="M10" s="345">
        <f t="shared" si="1"/>
        <v>0</v>
      </c>
      <c r="N10" s="346">
        <f t="shared" si="0"/>
        <v>0</v>
      </c>
      <c r="O10" s="347">
        <f t="shared" si="2"/>
        <v>0</v>
      </c>
      <c r="P10" s="348">
        <f t="shared" si="4"/>
        <v>0</v>
      </c>
      <c r="R10" s="227">
        <v>1.4306624999999999E-4</v>
      </c>
      <c r="S10" s="228"/>
    </row>
    <row r="11" spans="1:20">
      <c r="A11" s="216" t="s">
        <v>189</v>
      </c>
      <c r="B11" s="341" t="s">
        <v>187</v>
      </c>
      <c r="C11" s="342" t="s">
        <v>216</v>
      </c>
      <c r="D11" s="343"/>
      <c r="E11" s="343"/>
      <c r="F11" s="343"/>
      <c r="G11" s="343"/>
      <c r="H11" s="220"/>
      <c r="I11" s="220"/>
      <c r="J11" s="220"/>
      <c r="K11" s="221">
        <v>0.3</v>
      </c>
      <c r="L11" s="344">
        <v>0.128</v>
      </c>
      <c r="M11" s="345">
        <f t="shared" si="1"/>
        <v>0</v>
      </c>
      <c r="N11" s="346">
        <f t="shared" si="0"/>
        <v>0</v>
      </c>
      <c r="O11" s="347">
        <f t="shared" si="2"/>
        <v>0</v>
      </c>
      <c r="P11" s="348">
        <f t="shared" si="4"/>
        <v>0</v>
      </c>
      <c r="R11" s="227">
        <v>1.4306624999999999E-4</v>
      </c>
      <c r="S11" s="228">
        <f t="shared" si="3"/>
        <v>0</v>
      </c>
    </row>
    <row r="12" spans="1:20">
      <c r="A12" s="216" t="s">
        <v>189</v>
      </c>
      <c r="B12" s="341" t="s">
        <v>187</v>
      </c>
      <c r="C12" s="342" t="s">
        <v>217</v>
      </c>
      <c r="D12" s="343"/>
      <c r="E12" s="343"/>
      <c r="F12" s="343"/>
      <c r="G12" s="343"/>
      <c r="H12" s="220"/>
      <c r="I12" s="220"/>
      <c r="J12" s="220"/>
      <c r="K12" s="221">
        <v>0.34</v>
      </c>
      <c r="L12" s="344">
        <v>0.14630000000000001</v>
      </c>
      <c r="M12" s="345">
        <f t="shared" si="1"/>
        <v>0</v>
      </c>
      <c r="N12" s="346">
        <f t="shared" si="0"/>
        <v>0</v>
      </c>
      <c r="O12" s="347">
        <f t="shared" si="2"/>
        <v>0</v>
      </c>
      <c r="P12" s="348">
        <f t="shared" si="4"/>
        <v>0</v>
      </c>
      <c r="R12" s="227">
        <v>1.6504625000000002E-4</v>
      </c>
      <c r="S12" s="228"/>
    </row>
    <row r="13" spans="1:20">
      <c r="A13" s="216" t="s">
        <v>189</v>
      </c>
      <c r="B13" s="341" t="s">
        <v>187</v>
      </c>
      <c r="C13" s="342" t="s">
        <v>218</v>
      </c>
      <c r="D13" s="343"/>
      <c r="E13" s="343"/>
      <c r="F13" s="343"/>
      <c r="G13" s="343"/>
      <c r="H13" s="220"/>
      <c r="I13" s="220"/>
      <c r="J13" s="220"/>
      <c r="K13" s="221">
        <v>0.43</v>
      </c>
      <c r="L13" s="344">
        <v>0.183</v>
      </c>
      <c r="M13" s="345">
        <f t="shared" si="1"/>
        <v>0</v>
      </c>
      <c r="N13" s="346">
        <f t="shared" si="0"/>
        <v>0</v>
      </c>
      <c r="O13" s="347">
        <f t="shared" si="2"/>
        <v>0</v>
      </c>
      <c r="P13" s="348">
        <f t="shared" si="4"/>
        <v>0</v>
      </c>
      <c r="R13" s="227">
        <v>2.2686500000000003E-4</v>
      </c>
      <c r="S13" s="228"/>
    </row>
    <row r="14" spans="1:20">
      <c r="A14" s="216" t="s">
        <v>189</v>
      </c>
      <c r="B14" s="341" t="s">
        <v>187</v>
      </c>
      <c r="C14" s="342" t="s">
        <v>219</v>
      </c>
      <c r="D14" s="343"/>
      <c r="E14" s="343"/>
      <c r="F14" s="343"/>
      <c r="G14" s="343"/>
      <c r="H14" s="220"/>
      <c r="I14" s="220"/>
      <c r="J14" s="220"/>
      <c r="K14" s="221">
        <v>0.49</v>
      </c>
      <c r="L14" s="344">
        <v>0.21970000000000001</v>
      </c>
      <c r="M14" s="345">
        <f t="shared" si="1"/>
        <v>0</v>
      </c>
      <c r="N14" s="346">
        <f t="shared" si="0"/>
        <v>0</v>
      </c>
      <c r="O14" s="347">
        <f t="shared" si="2"/>
        <v>0</v>
      </c>
      <c r="P14" s="348">
        <f t="shared" si="4"/>
        <v>0</v>
      </c>
      <c r="R14" s="227">
        <v>2.5433999999999998E-4</v>
      </c>
      <c r="S14" s="228"/>
    </row>
    <row r="15" spans="1:20">
      <c r="A15" s="216" t="s">
        <v>189</v>
      </c>
      <c r="B15" s="341" t="s">
        <v>187</v>
      </c>
      <c r="C15" s="342" t="s">
        <v>220</v>
      </c>
      <c r="D15" s="343"/>
      <c r="E15" s="343"/>
      <c r="F15" s="343"/>
      <c r="G15" s="343"/>
      <c r="H15" s="220"/>
      <c r="I15" s="220"/>
      <c r="J15" s="220"/>
      <c r="K15" s="221">
        <v>0.57499999999999996</v>
      </c>
      <c r="L15" s="344">
        <v>0.2747</v>
      </c>
      <c r="M15" s="345">
        <f t="shared" si="1"/>
        <v>0</v>
      </c>
      <c r="N15" s="346">
        <f t="shared" si="0"/>
        <v>0</v>
      </c>
      <c r="O15" s="347">
        <f t="shared" si="2"/>
        <v>0</v>
      </c>
      <c r="P15" s="348">
        <f t="shared" si="4"/>
        <v>0</v>
      </c>
      <c r="R15" s="227">
        <v>2.8338499999999998E-4</v>
      </c>
      <c r="S15" s="228"/>
    </row>
    <row r="16" spans="1:20">
      <c r="A16" s="216" t="s">
        <v>189</v>
      </c>
      <c r="B16" s="341" t="s">
        <v>187</v>
      </c>
      <c r="C16" s="342" t="s">
        <v>221</v>
      </c>
      <c r="D16" s="343"/>
      <c r="E16" s="343"/>
      <c r="F16" s="343"/>
      <c r="G16" s="343"/>
      <c r="H16" s="220"/>
      <c r="I16" s="220"/>
      <c r="J16" s="220"/>
      <c r="K16" s="221">
        <v>0.73499999999999999</v>
      </c>
      <c r="L16" s="344">
        <v>0.36670000000000003</v>
      </c>
      <c r="M16" s="345">
        <f t="shared" si="1"/>
        <v>0</v>
      </c>
      <c r="N16" s="346">
        <f t="shared" si="0"/>
        <v>0</v>
      </c>
      <c r="O16" s="347">
        <f t="shared" si="2"/>
        <v>0</v>
      </c>
      <c r="P16" s="348">
        <f t="shared" si="4"/>
        <v>0</v>
      </c>
      <c r="R16" s="227">
        <v>3.4618500000000005E-4</v>
      </c>
      <c r="S16" s="228"/>
    </row>
    <row r="17" spans="1:19">
      <c r="A17" s="216" t="s">
        <v>189</v>
      </c>
      <c r="B17" s="349" t="s">
        <v>187</v>
      </c>
      <c r="C17" s="350" t="s">
        <v>222</v>
      </c>
      <c r="D17" s="351"/>
      <c r="E17" s="351"/>
      <c r="F17" s="351"/>
      <c r="G17" s="351"/>
      <c r="H17" s="234"/>
      <c r="I17" s="234"/>
      <c r="J17" s="234"/>
      <c r="K17" s="233">
        <v>1.1000000000000001</v>
      </c>
      <c r="L17" s="352">
        <v>0.55000000000000004</v>
      </c>
      <c r="M17" s="353">
        <f t="shared" si="1"/>
        <v>0</v>
      </c>
      <c r="N17" s="354">
        <f t="shared" si="0"/>
        <v>0</v>
      </c>
      <c r="O17" s="355">
        <f t="shared" si="2"/>
        <v>0</v>
      </c>
      <c r="P17" s="348">
        <f t="shared" si="4"/>
        <v>0</v>
      </c>
      <c r="R17" s="227">
        <v>5.3065999999999996E-4</v>
      </c>
      <c r="S17" s="228"/>
    </row>
    <row r="18" spans="1:19">
      <c r="A18" s="216" t="s">
        <v>189</v>
      </c>
      <c r="B18" s="356"/>
      <c r="C18" s="357"/>
      <c r="D18" s="357"/>
      <c r="E18" s="357"/>
      <c r="F18" s="357"/>
      <c r="G18" s="357"/>
      <c r="H18" s="357"/>
      <c r="I18" s="357"/>
      <c r="J18" s="357"/>
      <c r="K18" s="357"/>
      <c r="L18" s="358"/>
      <c r="M18" s="359"/>
      <c r="N18" s="360"/>
      <c r="O18" s="361"/>
      <c r="P18" s="362" t="s">
        <v>193</v>
      </c>
      <c r="R18" s="227"/>
      <c r="S18" s="228"/>
    </row>
    <row r="19" spans="1:19">
      <c r="A19" s="216" t="s">
        <v>189</v>
      </c>
      <c r="B19" s="363" t="s">
        <v>223</v>
      </c>
      <c r="C19" s="364" t="s">
        <v>212</v>
      </c>
      <c r="D19" s="365"/>
      <c r="E19" s="365"/>
      <c r="F19" s="365"/>
      <c r="G19" s="365"/>
      <c r="H19" s="366"/>
      <c r="I19" s="366"/>
      <c r="J19" s="366"/>
      <c r="K19" s="367">
        <v>0.18</v>
      </c>
      <c r="L19" s="368">
        <v>6.5000000000000002E-2</v>
      </c>
      <c r="M19" s="369">
        <f t="shared" ref="M19:M30" si="5">SUM(D19:J19)</f>
        <v>0</v>
      </c>
      <c r="N19" s="370">
        <f t="shared" si="0"/>
        <v>0</v>
      </c>
      <c r="O19" s="371">
        <f t="shared" ref="O19:O30" si="6">L19*M19</f>
        <v>0</v>
      </c>
      <c r="P19" s="348">
        <f t="shared" si="4"/>
        <v>0</v>
      </c>
      <c r="R19" s="227"/>
      <c r="S19" s="228"/>
    </row>
    <row r="20" spans="1:19">
      <c r="A20" s="216" t="s">
        <v>189</v>
      </c>
      <c r="B20" s="341" t="s">
        <v>187</v>
      </c>
      <c r="C20" s="372" t="s">
        <v>213</v>
      </c>
      <c r="D20" s="373"/>
      <c r="E20" s="373"/>
      <c r="F20" s="373"/>
      <c r="G20" s="373"/>
      <c r="H20" s="374"/>
      <c r="I20" s="374"/>
      <c r="J20" s="374"/>
      <c r="K20" s="375">
        <v>0.22500000000000001</v>
      </c>
      <c r="L20" s="376">
        <v>9.7670000000000007E-2</v>
      </c>
      <c r="M20" s="377">
        <f t="shared" si="5"/>
        <v>0</v>
      </c>
      <c r="N20" s="378">
        <f t="shared" si="0"/>
        <v>0</v>
      </c>
      <c r="O20" s="379">
        <f t="shared" si="6"/>
        <v>0</v>
      </c>
      <c r="P20" s="348">
        <f t="shared" si="4"/>
        <v>0</v>
      </c>
      <c r="R20" s="227"/>
      <c r="S20" s="228"/>
    </row>
    <row r="21" spans="1:19">
      <c r="A21" s="216" t="s">
        <v>189</v>
      </c>
      <c r="B21" s="380" t="s">
        <v>187</v>
      </c>
      <c r="C21" s="372" t="s">
        <v>210</v>
      </c>
      <c r="D21" s="373"/>
      <c r="E21" s="373"/>
      <c r="F21" s="373"/>
      <c r="G21" s="373"/>
      <c r="H21" s="374"/>
      <c r="I21" s="374"/>
      <c r="J21" s="374"/>
      <c r="K21" s="375">
        <v>0.28000000000000003</v>
      </c>
      <c r="L21" s="376">
        <v>0.1303</v>
      </c>
      <c r="M21" s="377">
        <f t="shared" si="5"/>
        <v>0</v>
      </c>
      <c r="N21" s="378">
        <f t="shared" si="0"/>
        <v>0</v>
      </c>
      <c r="O21" s="379">
        <f t="shared" si="6"/>
        <v>0</v>
      </c>
      <c r="P21" s="348">
        <f t="shared" si="4"/>
        <v>0</v>
      </c>
      <c r="R21" s="227"/>
      <c r="S21" s="228"/>
    </row>
    <row r="22" spans="1:19">
      <c r="A22" s="216" t="s">
        <v>189</v>
      </c>
      <c r="B22" s="380" t="s">
        <v>187</v>
      </c>
      <c r="C22" s="372" t="s">
        <v>214</v>
      </c>
      <c r="D22" s="373"/>
      <c r="E22" s="373"/>
      <c r="F22" s="373"/>
      <c r="G22" s="373"/>
      <c r="H22" s="374"/>
      <c r="I22" s="374"/>
      <c r="J22" s="374"/>
      <c r="K22" s="375">
        <v>0.34</v>
      </c>
      <c r="L22" s="376">
        <v>0.16270000000000001</v>
      </c>
      <c r="M22" s="377">
        <f t="shared" si="5"/>
        <v>0</v>
      </c>
      <c r="N22" s="378">
        <f t="shared" si="0"/>
        <v>0</v>
      </c>
      <c r="O22" s="379">
        <f t="shared" si="6"/>
        <v>0</v>
      </c>
      <c r="P22" s="348">
        <f t="shared" si="4"/>
        <v>0</v>
      </c>
      <c r="R22" s="227"/>
      <c r="S22" s="228"/>
    </row>
    <row r="23" spans="1:19">
      <c r="A23" s="216" t="s">
        <v>189</v>
      </c>
      <c r="B23" s="380" t="s">
        <v>187</v>
      </c>
      <c r="C23" s="372" t="s">
        <v>215</v>
      </c>
      <c r="D23" s="373"/>
      <c r="E23" s="373"/>
      <c r="F23" s="373"/>
      <c r="G23" s="373"/>
      <c r="H23" s="374"/>
      <c r="I23" s="374"/>
      <c r="J23" s="374"/>
      <c r="K23" s="375">
        <v>0.4</v>
      </c>
      <c r="L23" s="376">
        <v>0.1953</v>
      </c>
      <c r="M23" s="377">
        <f t="shared" si="5"/>
        <v>0</v>
      </c>
      <c r="N23" s="378">
        <f t="shared" si="0"/>
        <v>0</v>
      </c>
      <c r="O23" s="379">
        <f t="shared" si="6"/>
        <v>0</v>
      </c>
      <c r="P23" s="348">
        <f t="shared" si="4"/>
        <v>0</v>
      </c>
      <c r="R23" s="227"/>
      <c r="S23" s="228"/>
    </row>
    <row r="24" spans="1:19">
      <c r="A24" s="216" t="s">
        <v>189</v>
      </c>
      <c r="B24" s="380" t="s">
        <v>187</v>
      </c>
      <c r="C24" s="372" t="s">
        <v>216</v>
      </c>
      <c r="D24" s="373"/>
      <c r="E24" s="373"/>
      <c r="F24" s="373"/>
      <c r="G24" s="373"/>
      <c r="H24" s="374"/>
      <c r="I24" s="374"/>
      <c r="J24" s="374"/>
      <c r="K24" s="375">
        <v>0.43</v>
      </c>
      <c r="L24" s="376">
        <v>0.22767000000000001</v>
      </c>
      <c r="M24" s="377">
        <f t="shared" si="5"/>
        <v>0</v>
      </c>
      <c r="N24" s="378">
        <f t="shared" si="0"/>
        <v>0</v>
      </c>
      <c r="O24" s="379">
        <f t="shared" si="6"/>
        <v>0</v>
      </c>
      <c r="P24" s="348">
        <f t="shared" si="4"/>
        <v>0</v>
      </c>
      <c r="R24" s="227"/>
      <c r="S24" s="228"/>
    </row>
    <row r="25" spans="1:19">
      <c r="A25" s="216" t="s">
        <v>189</v>
      </c>
      <c r="B25" s="380" t="s">
        <v>187</v>
      </c>
      <c r="C25" s="372" t="s">
        <v>217</v>
      </c>
      <c r="D25" s="373"/>
      <c r="E25" s="373"/>
      <c r="F25" s="373"/>
      <c r="G25" s="373"/>
      <c r="H25" s="374"/>
      <c r="I25" s="374"/>
      <c r="J25" s="374"/>
      <c r="K25" s="375">
        <v>0.5</v>
      </c>
      <c r="L25" s="376">
        <v>0.26033000000000001</v>
      </c>
      <c r="M25" s="377">
        <f t="shared" si="5"/>
        <v>0</v>
      </c>
      <c r="N25" s="378">
        <f t="shared" si="0"/>
        <v>0</v>
      </c>
      <c r="O25" s="379">
        <f t="shared" si="6"/>
        <v>0</v>
      </c>
      <c r="P25" s="348">
        <f t="shared" si="4"/>
        <v>0</v>
      </c>
      <c r="R25" s="227"/>
      <c r="S25" s="228"/>
    </row>
    <row r="26" spans="1:19">
      <c r="A26" s="216" t="s">
        <v>189</v>
      </c>
      <c r="B26" s="380" t="s">
        <v>187</v>
      </c>
      <c r="C26" s="372" t="s">
        <v>218</v>
      </c>
      <c r="D26" s="373"/>
      <c r="E26" s="373"/>
      <c r="F26" s="373"/>
      <c r="G26" s="373"/>
      <c r="H26" s="374"/>
      <c r="I26" s="374"/>
      <c r="J26" s="374"/>
      <c r="K26" s="375">
        <v>0.63</v>
      </c>
      <c r="L26" s="376">
        <v>0.32567000000000002</v>
      </c>
      <c r="M26" s="377">
        <f t="shared" si="5"/>
        <v>0</v>
      </c>
      <c r="N26" s="378">
        <f t="shared" si="0"/>
        <v>0</v>
      </c>
      <c r="O26" s="379">
        <f t="shared" si="6"/>
        <v>0</v>
      </c>
      <c r="P26" s="348">
        <f t="shared" si="4"/>
        <v>0</v>
      </c>
      <c r="R26" s="227"/>
      <c r="S26" s="228"/>
    </row>
    <row r="27" spans="1:19">
      <c r="A27" s="216" t="s">
        <v>189</v>
      </c>
      <c r="B27" s="380" t="s">
        <v>187</v>
      </c>
      <c r="C27" s="372" t="s">
        <v>219</v>
      </c>
      <c r="D27" s="373"/>
      <c r="E27" s="373"/>
      <c r="F27" s="373"/>
      <c r="G27" s="373"/>
      <c r="H27" s="374"/>
      <c r="I27" s="374"/>
      <c r="J27" s="374"/>
      <c r="K27" s="375">
        <v>0.72</v>
      </c>
      <c r="L27" s="376">
        <v>0.39</v>
      </c>
      <c r="M27" s="377">
        <f t="shared" si="5"/>
        <v>0</v>
      </c>
      <c r="N27" s="378">
        <f t="shared" si="0"/>
        <v>0</v>
      </c>
      <c r="O27" s="379">
        <f t="shared" si="6"/>
        <v>0</v>
      </c>
      <c r="P27" s="348">
        <f t="shared" si="4"/>
        <v>0</v>
      </c>
      <c r="R27" s="227"/>
      <c r="S27" s="228"/>
    </row>
    <row r="28" spans="1:19">
      <c r="A28" s="216" t="s">
        <v>189</v>
      </c>
      <c r="B28" s="380" t="s">
        <v>187</v>
      </c>
      <c r="C28" s="372" t="s">
        <v>220</v>
      </c>
      <c r="D28" s="373"/>
      <c r="E28" s="373"/>
      <c r="F28" s="373"/>
      <c r="G28" s="373"/>
      <c r="H28" s="374"/>
      <c r="I28" s="374"/>
      <c r="J28" s="374"/>
      <c r="K28" s="375">
        <v>0.85499999999999998</v>
      </c>
      <c r="L28" s="376">
        <v>0.48666999999999999</v>
      </c>
      <c r="M28" s="377">
        <f t="shared" si="5"/>
        <v>0</v>
      </c>
      <c r="N28" s="378">
        <f t="shared" si="0"/>
        <v>0</v>
      </c>
      <c r="O28" s="379">
        <f t="shared" si="6"/>
        <v>0</v>
      </c>
      <c r="P28" s="348">
        <f t="shared" si="4"/>
        <v>0</v>
      </c>
      <c r="R28" s="227"/>
      <c r="S28" s="228"/>
    </row>
    <row r="29" spans="1:19">
      <c r="A29" s="216" t="s">
        <v>189</v>
      </c>
      <c r="B29" s="380" t="s">
        <v>187</v>
      </c>
      <c r="C29" s="372" t="s">
        <v>221</v>
      </c>
      <c r="D29" s="373"/>
      <c r="E29" s="373"/>
      <c r="F29" s="373"/>
      <c r="G29" s="373"/>
      <c r="H29" s="374"/>
      <c r="I29" s="374"/>
      <c r="J29" s="374"/>
      <c r="K29" s="375">
        <v>1.1299999999999999</v>
      </c>
      <c r="L29" s="376">
        <v>0.65</v>
      </c>
      <c r="M29" s="377">
        <f t="shared" si="5"/>
        <v>0</v>
      </c>
      <c r="N29" s="378">
        <f t="shared" si="0"/>
        <v>0</v>
      </c>
      <c r="O29" s="379">
        <f t="shared" si="6"/>
        <v>0</v>
      </c>
      <c r="P29" s="348">
        <f t="shared" si="4"/>
        <v>0</v>
      </c>
      <c r="R29" s="227"/>
      <c r="S29" s="228"/>
    </row>
    <row r="30" spans="1:19">
      <c r="A30" s="216" t="s">
        <v>189</v>
      </c>
      <c r="B30" s="381" t="s">
        <v>187</v>
      </c>
      <c r="C30" s="382" t="s">
        <v>222</v>
      </c>
      <c r="D30" s="383"/>
      <c r="E30" s="383"/>
      <c r="F30" s="383"/>
      <c r="G30" s="383"/>
      <c r="H30" s="384"/>
      <c r="I30" s="384"/>
      <c r="J30" s="384"/>
      <c r="K30" s="385">
        <v>1.67</v>
      </c>
      <c r="L30" s="386">
        <v>0.97667000000000004</v>
      </c>
      <c r="M30" s="387">
        <f t="shared" si="5"/>
        <v>0</v>
      </c>
      <c r="N30" s="388">
        <f t="shared" si="0"/>
        <v>0</v>
      </c>
      <c r="O30" s="389">
        <f t="shared" si="6"/>
        <v>0</v>
      </c>
      <c r="P30" s="348">
        <f t="shared" si="4"/>
        <v>0</v>
      </c>
      <c r="R30" s="227"/>
      <c r="S30" s="228"/>
    </row>
    <row r="31" spans="1:19">
      <c r="A31" s="216" t="s">
        <v>189</v>
      </c>
      <c r="B31" s="356"/>
      <c r="C31" s="390" t="s">
        <v>224</v>
      </c>
      <c r="D31" s="390"/>
      <c r="E31" s="390"/>
      <c r="F31" s="390"/>
      <c r="G31" s="390"/>
      <c r="H31" s="357"/>
      <c r="I31" s="357"/>
      <c r="J31" s="357"/>
      <c r="K31" s="357" t="s">
        <v>225</v>
      </c>
      <c r="L31" s="358"/>
      <c r="M31" s="359"/>
      <c r="N31" s="360" t="s">
        <v>193</v>
      </c>
      <c r="O31" s="361" t="s">
        <v>193</v>
      </c>
      <c r="P31" s="362" t="s">
        <v>193</v>
      </c>
      <c r="R31" s="227"/>
      <c r="S31" s="228"/>
    </row>
    <row r="32" spans="1:19">
      <c r="A32" s="216" t="s">
        <v>189</v>
      </c>
      <c r="B32" s="391" t="s">
        <v>226</v>
      </c>
      <c r="C32" s="333" t="s">
        <v>212</v>
      </c>
      <c r="D32" s="334"/>
      <c r="E32" s="334"/>
      <c r="F32" s="334"/>
      <c r="G32" s="334"/>
      <c r="H32" s="250"/>
      <c r="I32" s="250"/>
      <c r="J32" s="250"/>
      <c r="K32" s="251">
        <v>2.7E-2</v>
      </c>
      <c r="L32" s="335">
        <f>0.5*0.5*3.14/4*8.96/1000*2</f>
        <v>3.5168000000000005E-3</v>
      </c>
      <c r="M32" s="336">
        <f t="shared" ref="M32:M42" si="7">SUM(D32:J32)</f>
        <v>0</v>
      </c>
      <c r="N32" s="392">
        <f t="shared" ref="N32:N42" si="8">K32*M32</f>
        <v>0</v>
      </c>
      <c r="O32" s="393">
        <f t="shared" ref="O32:O42" si="9">L32*M32</f>
        <v>0</v>
      </c>
      <c r="P32" s="348">
        <f t="shared" si="4"/>
        <v>0</v>
      </c>
      <c r="R32" s="227">
        <v>1.9635625000000001E-5</v>
      </c>
      <c r="S32" s="228">
        <f t="shared" ref="S32:S39" si="10">M32*R32</f>
        <v>0</v>
      </c>
    </row>
    <row r="33" spans="1:19">
      <c r="A33" s="216" t="s">
        <v>189</v>
      </c>
      <c r="B33" s="394" t="s">
        <v>227</v>
      </c>
      <c r="C33" s="342" t="s">
        <v>213</v>
      </c>
      <c r="D33" s="343"/>
      <c r="E33" s="343"/>
      <c r="F33" s="343"/>
      <c r="G33" s="343"/>
      <c r="H33" s="220"/>
      <c r="I33" s="220"/>
      <c r="J33" s="220"/>
      <c r="K33" s="221">
        <v>3.3000000000000002E-2</v>
      </c>
      <c r="L33" s="344">
        <f>0.5*0.5*3.14/4*8.96/1000*3</f>
        <v>5.2752000000000007E-3</v>
      </c>
      <c r="M33" s="345">
        <f t="shared" si="7"/>
        <v>0</v>
      </c>
      <c r="N33" s="346">
        <f t="shared" si="8"/>
        <v>0</v>
      </c>
      <c r="O33" s="347">
        <f t="shared" si="9"/>
        <v>0</v>
      </c>
      <c r="P33" s="348">
        <f t="shared" si="4"/>
        <v>0</v>
      </c>
      <c r="R33" s="227">
        <v>2.2062588250000001E-5</v>
      </c>
      <c r="S33" s="228"/>
    </row>
    <row r="34" spans="1:19">
      <c r="A34" s="216" t="s">
        <v>189</v>
      </c>
      <c r="B34" s="395" t="s">
        <v>187</v>
      </c>
      <c r="C34" s="342" t="s">
        <v>210</v>
      </c>
      <c r="D34" s="343"/>
      <c r="E34" s="343"/>
      <c r="F34" s="343"/>
      <c r="G34" s="343"/>
      <c r="H34" s="220"/>
      <c r="I34" s="220"/>
      <c r="J34" s="220"/>
      <c r="K34" s="221">
        <v>3.9E-2</v>
      </c>
      <c r="L34" s="344">
        <f>0.5*0.5*3.14/4*8.96/1000*4</f>
        <v>7.033600000000001E-3</v>
      </c>
      <c r="M34" s="345">
        <f t="shared" si="7"/>
        <v>0</v>
      </c>
      <c r="N34" s="346">
        <f t="shared" si="8"/>
        <v>0</v>
      </c>
      <c r="O34" s="347">
        <f t="shared" si="9"/>
        <v>0</v>
      </c>
      <c r="P34" s="348">
        <f t="shared" si="4"/>
        <v>0</v>
      </c>
      <c r="R34" s="227">
        <v>2.5518458250000004E-5</v>
      </c>
      <c r="S34" s="228"/>
    </row>
    <row r="35" spans="1:19">
      <c r="A35" s="216" t="s">
        <v>189</v>
      </c>
      <c r="B35" s="395" t="s">
        <v>187</v>
      </c>
      <c r="C35" s="396" t="s">
        <v>215</v>
      </c>
      <c r="D35" s="397"/>
      <c r="E35" s="397"/>
      <c r="F35" s="397"/>
      <c r="G35" s="397"/>
      <c r="H35" s="220"/>
      <c r="I35" s="220"/>
      <c r="J35" s="220"/>
      <c r="K35" s="221">
        <v>7.4999999999999997E-2</v>
      </c>
      <c r="L35" s="344">
        <f>0.5*0.5*3.14/4*8.96/1000*6</f>
        <v>1.0550400000000001E-2</v>
      </c>
      <c r="M35" s="345">
        <f t="shared" si="7"/>
        <v>0</v>
      </c>
      <c r="N35" s="346">
        <f t="shared" si="8"/>
        <v>0</v>
      </c>
      <c r="O35" s="347">
        <f t="shared" si="9"/>
        <v>0</v>
      </c>
      <c r="P35" s="348">
        <f t="shared" si="4"/>
        <v>0</v>
      </c>
      <c r="R35" s="227">
        <v>6.3619424999999998E-5</v>
      </c>
      <c r="S35" s="228"/>
    </row>
    <row r="36" spans="1:19">
      <c r="A36" s="216" t="s">
        <v>189</v>
      </c>
      <c r="B36" s="395" t="s">
        <v>187</v>
      </c>
      <c r="C36" s="396" t="s">
        <v>228</v>
      </c>
      <c r="D36" s="397"/>
      <c r="E36" s="397"/>
      <c r="F36" s="397"/>
      <c r="G36" s="397"/>
      <c r="H36" s="220"/>
      <c r="I36" s="220"/>
      <c r="J36" s="220"/>
      <c r="K36" s="221">
        <v>0.1</v>
      </c>
      <c r="L36" s="344">
        <f>0.5*0.5*3.14/4*8.96/1000*10</f>
        <v>1.7584000000000002E-2</v>
      </c>
      <c r="M36" s="345">
        <f t="shared" si="7"/>
        <v>0</v>
      </c>
      <c r="N36" s="346">
        <f t="shared" si="8"/>
        <v>0</v>
      </c>
      <c r="O36" s="347">
        <f t="shared" si="9"/>
        <v>0</v>
      </c>
      <c r="P36" s="348">
        <f t="shared" si="4"/>
        <v>0</v>
      </c>
      <c r="R36" s="227">
        <v>9.5036424999999999E-5</v>
      </c>
      <c r="S36" s="228">
        <f t="shared" si="10"/>
        <v>0</v>
      </c>
    </row>
    <row r="37" spans="1:19">
      <c r="A37" s="216" t="s">
        <v>189</v>
      </c>
      <c r="B37" s="395" t="s">
        <v>187</v>
      </c>
      <c r="C37" s="396" t="s">
        <v>229</v>
      </c>
      <c r="D37" s="397"/>
      <c r="E37" s="397"/>
      <c r="F37" s="397"/>
      <c r="G37" s="397"/>
      <c r="H37" s="220"/>
      <c r="I37" s="220"/>
      <c r="J37" s="220"/>
      <c r="K37" s="221">
        <v>0.125</v>
      </c>
      <c r="L37" s="344">
        <f>0.5*0.5*3.14/4*8.96/1000*14</f>
        <v>2.4617600000000003E-2</v>
      </c>
      <c r="M37" s="345">
        <f t="shared" si="7"/>
        <v>0</v>
      </c>
      <c r="N37" s="346">
        <f t="shared" si="8"/>
        <v>0</v>
      </c>
      <c r="O37" s="347">
        <f t="shared" si="9"/>
        <v>0</v>
      </c>
      <c r="P37" s="348">
        <f t="shared" si="4"/>
        <v>0</v>
      </c>
      <c r="R37" s="227">
        <v>1.1310120000000001E-4</v>
      </c>
      <c r="S37" s="228"/>
    </row>
    <row r="38" spans="1:19">
      <c r="A38" s="216" t="s">
        <v>189</v>
      </c>
      <c r="B38" s="395" t="s">
        <v>187</v>
      </c>
      <c r="C38" s="396" t="s">
        <v>230</v>
      </c>
      <c r="D38" s="397"/>
      <c r="E38" s="397"/>
      <c r="F38" s="397"/>
      <c r="G38" s="397"/>
      <c r="H38" s="220"/>
      <c r="I38" s="220"/>
      <c r="J38" s="220"/>
      <c r="K38" s="221">
        <v>0.16</v>
      </c>
      <c r="L38" s="344">
        <f>0.5*0.5*3.14/4*8.96/1000*20</f>
        <v>3.5168000000000005E-2</v>
      </c>
      <c r="M38" s="345">
        <f t="shared" si="7"/>
        <v>0</v>
      </c>
      <c r="N38" s="346">
        <f t="shared" si="8"/>
        <v>0</v>
      </c>
      <c r="O38" s="347">
        <f t="shared" si="9"/>
        <v>0</v>
      </c>
      <c r="P38" s="348">
        <f t="shared" si="4"/>
        <v>0</v>
      </c>
      <c r="R38" s="227">
        <v>1.3273682500000001E-4</v>
      </c>
      <c r="S38" s="228">
        <f t="shared" si="10"/>
        <v>0</v>
      </c>
    </row>
    <row r="39" spans="1:19">
      <c r="A39" s="216" t="s">
        <v>189</v>
      </c>
      <c r="B39" s="395" t="s">
        <v>187</v>
      </c>
      <c r="C39" s="396" t="s">
        <v>231</v>
      </c>
      <c r="D39" s="397"/>
      <c r="E39" s="397"/>
      <c r="F39" s="397"/>
      <c r="G39" s="397"/>
      <c r="H39" s="220"/>
      <c r="I39" s="220"/>
      <c r="J39" s="220"/>
      <c r="K39" s="221">
        <v>0.27</v>
      </c>
      <c r="L39" s="344">
        <f>0.5*0.5*3.14/4*8.96/1000*40</f>
        <v>7.033600000000001E-2</v>
      </c>
      <c r="M39" s="345">
        <f t="shared" si="7"/>
        <v>0</v>
      </c>
      <c r="N39" s="346">
        <f t="shared" si="8"/>
        <v>0</v>
      </c>
      <c r="O39" s="347">
        <f t="shared" si="9"/>
        <v>0</v>
      </c>
      <c r="P39" s="348">
        <f t="shared" si="4"/>
        <v>0</v>
      </c>
      <c r="R39" s="227">
        <v>2.010688E-4</v>
      </c>
      <c r="S39" s="228">
        <f t="shared" si="10"/>
        <v>0</v>
      </c>
    </row>
    <row r="40" spans="1:19">
      <c r="A40" s="216" t="s">
        <v>189</v>
      </c>
      <c r="B40" s="395" t="s">
        <v>187</v>
      </c>
      <c r="C40" s="396" t="s">
        <v>232</v>
      </c>
      <c r="D40" s="397"/>
      <c r="E40" s="397"/>
      <c r="F40" s="397"/>
      <c r="G40" s="397"/>
      <c r="H40" s="220"/>
      <c r="I40" s="220"/>
      <c r="J40" s="220"/>
      <c r="K40" s="221">
        <v>0.375</v>
      </c>
      <c r="L40" s="344">
        <f>0.5*0.5*3.14/4*8.96/1000*60</f>
        <v>0.10550400000000001</v>
      </c>
      <c r="M40" s="345">
        <f t="shared" si="7"/>
        <v>0</v>
      </c>
      <c r="N40" s="346">
        <f t="shared" si="8"/>
        <v>0</v>
      </c>
      <c r="O40" s="347">
        <f t="shared" si="9"/>
        <v>0</v>
      </c>
      <c r="P40" s="348">
        <f t="shared" si="4"/>
        <v>0</v>
      </c>
      <c r="R40" s="227">
        <v>2.8353842499999999E-4</v>
      </c>
      <c r="S40" s="228"/>
    </row>
    <row r="41" spans="1:19">
      <c r="A41" s="216" t="s">
        <v>189</v>
      </c>
      <c r="B41" s="395" t="s">
        <v>187</v>
      </c>
      <c r="C41" s="396" t="s">
        <v>233</v>
      </c>
      <c r="D41" s="397"/>
      <c r="E41" s="397"/>
      <c r="F41" s="397"/>
      <c r="G41" s="397"/>
      <c r="H41" s="220"/>
      <c r="I41" s="220"/>
      <c r="J41" s="220"/>
      <c r="K41" s="221">
        <v>0.58499999999999996</v>
      </c>
      <c r="L41" s="344">
        <f>0.5*0.5*3.14/4*8.96/1000*100</f>
        <v>0.17584000000000002</v>
      </c>
      <c r="M41" s="345">
        <f t="shared" si="7"/>
        <v>0</v>
      </c>
      <c r="N41" s="346">
        <f t="shared" si="8"/>
        <v>0</v>
      </c>
      <c r="O41" s="347">
        <f t="shared" si="9"/>
        <v>0</v>
      </c>
      <c r="P41" s="348">
        <f t="shared" si="4"/>
        <v>0</v>
      </c>
      <c r="R41" s="227">
        <v>4.1548982499999996E-4</v>
      </c>
      <c r="S41" s="228"/>
    </row>
    <row r="42" spans="1:19">
      <c r="A42" s="216" t="s">
        <v>189</v>
      </c>
      <c r="B42" s="398" t="s">
        <v>187</v>
      </c>
      <c r="C42" s="399" t="s">
        <v>234</v>
      </c>
      <c r="D42" s="400"/>
      <c r="E42" s="400"/>
      <c r="F42" s="400"/>
      <c r="G42" s="400"/>
      <c r="H42" s="234"/>
      <c r="I42" s="234"/>
      <c r="J42" s="234"/>
      <c r="K42" s="233">
        <v>1.1100000000000001</v>
      </c>
      <c r="L42" s="352">
        <f>0.5*0.5*3.14/4*8.96/1000*200</f>
        <v>0.35168000000000005</v>
      </c>
      <c r="M42" s="353">
        <f t="shared" si="7"/>
        <v>0</v>
      </c>
      <c r="N42" s="354">
        <f t="shared" si="8"/>
        <v>0</v>
      </c>
      <c r="O42" s="355">
        <f t="shared" si="9"/>
        <v>0</v>
      </c>
      <c r="P42" s="348">
        <f t="shared" si="4"/>
        <v>0</v>
      </c>
      <c r="R42" s="227">
        <v>7.0688249999999999E-4</v>
      </c>
      <c r="S42" s="228"/>
    </row>
    <row r="43" spans="1:19">
      <c r="A43" s="216" t="s">
        <v>189</v>
      </c>
      <c r="B43" s="356"/>
      <c r="C43" s="390" t="s">
        <v>225</v>
      </c>
      <c r="D43" s="390"/>
      <c r="E43" s="390"/>
      <c r="F43" s="390"/>
      <c r="G43" s="390"/>
      <c r="H43" s="357"/>
      <c r="I43" s="357"/>
      <c r="J43" s="357"/>
      <c r="K43" s="357" t="s">
        <v>225</v>
      </c>
      <c r="L43" s="358"/>
      <c r="M43" s="359"/>
      <c r="N43" s="360" t="s">
        <v>193</v>
      </c>
      <c r="O43" s="361" t="s">
        <v>193</v>
      </c>
      <c r="P43" s="362" t="s">
        <v>193</v>
      </c>
      <c r="R43" s="227"/>
      <c r="S43" s="228"/>
    </row>
    <row r="44" spans="1:19">
      <c r="A44" s="216" t="s">
        <v>189</v>
      </c>
      <c r="B44" s="401" t="s">
        <v>235</v>
      </c>
      <c r="C44" s="333" t="s">
        <v>212</v>
      </c>
      <c r="D44" s="334"/>
      <c r="E44" s="334"/>
      <c r="F44" s="334"/>
      <c r="G44" s="334"/>
      <c r="H44" s="250"/>
      <c r="I44" s="250"/>
      <c r="J44" s="250"/>
      <c r="K44" s="251">
        <v>3.5999999999999997E-2</v>
      </c>
      <c r="L44" s="402">
        <f>0.9*0.9*3.14/4*8.9/1000*2</f>
        <v>1.1318130000000003E-2</v>
      </c>
      <c r="M44" s="336">
        <f t="shared" ref="M44:M54" si="11">SUM(D44:J44)</f>
        <v>0</v>
      </c>
      <c r="N44" s="392">
        <f t="shared" ref="N44:N54" si="12">K44*M44</f>
        <v>0</v>
      </c>
      <c r="O44" s="393">
        <f t="shared" ref="O44:O54" si="13">L44*M44</f>
        <v>0</v>
      </c>
      <c r="P44" s="348">
        <f t="shared" si="4"/>
        <v>0</v>
      </c>
      <c r="R44" s="227">
        <v>1.8359999999999997E-5</v>
      </c>
      <c r="S44" s="228"/>
    </row>
    <row r="45" spans="1:19">
      <c r="A45" s="216" t="s">
        <v>189</v>
      </c>
      <c r="B45" s="403">
        <v>0.9</v>
      </c>
      <c r="C45" s="342" t="s">
        <v>213</v>
      </c>
      <c r="D45" s="343"/>
      <c r="E45" s="343"/>
      <c r="F45" s="343"/>
      <c r="G45" s="343"/>
      <c r="H45" s="220"/>
      <c r="I45" s="220"/>
      <c r="J45" s="220"/>
      <c r="K45" s="221">
        <v>4.3999999999999997E-2</v>
      </c>
      <c r="L45" s="344">
        <f>0.9*0.9*3.14/4*8.9/1000*3</f>
        <v>1.6977195000000004E-2</v>
      </c>
      <c r="M45" s="345">
        <f t="shared" si="11"/>
        <v>0</v>
      </c>
      <c r="N45" s="346">
        <f t="shared" si="12"/>
        <v>0</v>
      </c>
      <c r="O45" s="347">
        <f t="shared" si="13"/>
        <v>0</v>
      </c>
      <c r="P45" s="348">
        <f t="shared" si="4"/>
        <v>0</v>
      </c>
      <c r="R45" s="227">
        <v>2.3759999999999996E-5</v>
      </c>
      <c r="S45" s="228">
        <f t="shared" ref="S45:S51" si="14">M45*R45</f>
        <v>0</v>
      </c>
    </row>
    <row r="46" spans="1:19">
      <c r="A46" s="216" t="s">
        <v>189</v>
      </c>
      <c r="B46" s="341" t="s">
        <v>187</v>
      </c>
      <c r="C46" s="342" t="s">
        <v>210</v>
      </c>
      <c r="D46" s="343"/>
      <c r="E46" s="343"/>
      <c r="F46" s="343"/>
      <c r="G46" s="343"/>
      <c r="H46" s="220"/>
      <c r="I46" s="220"/>
      <c r="J46" s="220"/>
      <c r="K46" s="221">
        <v>5.5E-2</v>
      </c>
      <c r="L46" s="344">
        <f>0.9*0.9*3.14/4*8.9/1000*4</f>
        <v>2.2636260000000005E-2</v>
      </c>
      <c r="M46" s="345">
        <f t="shared" si="11"/>
        <v>0</v>
      </c>
      <c r="N46" s="346">
        <f t="shared" si="12"/>
        <v>0</v>
      </c>
      <c r="O46" s="347">
        <f t="shared" si="13"/>
        <v>0</v>
      </c>
      <c r="P46" s="348">
        <f t="shared" si="4"/>
        <v>0</v>
      </c>
      <c r="R46" s="227">
        <v>3.3166249999999998E-5</v>
      </c>
      <c r="S46" s="228"/>
    </row>
    <row r="47" spans="1:19">
      <c r="A47" s="216" t="s">
        <v>189</v>
      </c>
      <c r="B47" s="341" t="s">
        <v>187</v>
      </c>
      <c r="C47" s="396" t="s">
        <v>215</v>
      </c>
      <c r="D47" s="397"/>
      <c r="E47" s="397"/>
      <c r="F47" s="397"/>
      <c r="G47" s="397"/>
      <c r="H47" s="220"/>
      <c r="I47" s="220"/>
      <c r="J47" s="220"/>
      <c r="K47" s="221">
        <v>0.11</v>
      </c>
      <c r="L47" s="344">
        <f>0.9*0.9*3.14/4*8.9/1000*6</f>
        <v>3.3954390000000008E-2</v>
      </c>
      <c r="M47" s="345">
        <f t="shared" si="11"/>
        <v>0</v>
      </c>
      <c r="N47" s="346">
        <f t="shared" si="12"/>
        <v>0</v>
      </c>
      <c r="O47" s="347">
        <f t="shared" si="13"/>
        <v>0</v>
      </c>
      <c r="P47" s="348">
        <f t="shared" si="4"/>
        <v>0</v>
      </c>
      <c r="R47" s="227">
        <v>5.6716250000000008E-5</v>
      </c>
      <c r="S47" s="228"/>
    </row>
    <row r="48" spans="1:19">
      <c r="A48" s="216" t="s">
        <v>189</v>
      </c>
      <c r="B48" s="341" t="s">
        <v>187</v>
      </c>
      <c r="C48" s="396" t="s">
        <v>228</v>
      </c>
      <c r="D48" s="397"/>
      <c r="E48" s="397"/>
      <c r="F48" s="397"/>
      <c r="G48" s="397"/>
      <c r="H48" s="220"/>
      <c r="I48" s="220"/>
      <c r="J48" s="220"/>
      <c r="K48" s="221">
        <v>0.155</v>
      </c>
      <c r="L48" s="344">
        <f>0.9*0.9*3.14/4*8.9/1000*10</f>
        <v>5.6590650000000013E-2</v>
      </c>
      <c r="M48" s="345">
        <f t="shared" si="11"/>
        <v>0</v>
      </c>
      <c r="N48" s="346">
        <f t="shared" si="12"/>
        <v>0</v>
      </c>
      <c r="O48" s="347">
        <f t="shared" si="13"/>
        <v>0</v>
      </c>
      <c r="P48" s="348">
        <f t="shared" si="4"/>
        <v>0</v>
      </c>
      <c r="R48" s="227">
        <v>7.0846249999999996E-5</v>
      </c>
      <c r="S48" s="228"/>
    </row>
    <row r="49" spans="1:19">
      <c r="A49" s="216" t="s">
        <v>189</v>
      </c>
      <c r="B49" s="341" t="s">
        <v>187</v>
      </c>
      <c r="C49" s="396" t="s">
        <v>229</v>
      </c>
      <c r="D49" s="397"/>
      <c r="E49" s="397"/>
      <c r="F49" s="397"/>
      <c r="G49" s="397"/>
      <c r="H49" s="220"/>
      <c r="I49" s="220"/>
      <c r="J49" s="220"/>
      <c r="K49" s="221">
        <v>0.2</v>
      </c>
      <c r="L49" s="344">
        <f>0.9*0.9*3.14/4*8.9/1000*14</f>
        <v>7.9226910000000011E-2</v>
      </c>
      <c r="M49" s="345">
        <f t="shared" si="11"/>
        <v>0</v>
      </c>
      <c r="N49" s="346">
        <f t="shared" si="12"/>
        <v>0</v>
      </c>
      <c r="O49" s="347">
        <f t="shared" si="13"/>
        <v>0</v>
      </c>
      <c r="P49" s="348">
        <f t="shared" si="4"/>
        <v>0</v>
      </c>
      <c r="R49" s="227">
        <v>8.6546250000000012E-5</v>
      </c>
      <c r="S49" s="228"/>
    </row>
    <row r="50" spans="1:19">
      <c r="A50" s="216" t="s">
        <v>189</v>
      </c>
      <c r="B50" s="341" t="s">
        <v>187</v>
      </c>
      <c r="C50" s="396" t="s">
        <v>230</v>
      </c>
      <c r="D50" s="397"/>
      <c r="E50" s="397"/>
      <c r="F50" s="397"/>
      <c r="G50" s="397"/>
      <c r="H50" s="220"/>
      <c r="I50" s="220"/>
      <c r="J50" s="220"/>
      <c r="K50" s="221">
        <v>0.255</v>
      </c>
      <c r="L50" s="344">
        <f>0.9*0.9*3.14/4*8.9/1000*20</f>
        <v>0.11318130000000003</v>
      </c>
      <c r="M50" s="345">
        <f t="shared" si="11"/>
        <v>0</v>
      </c>
      <c r="N50" s="346">
        <f t="shared" si="12"/>
        <v>0</v>
      </c>
      <c r="O50" s="347">
        <f t="shared" si="13"/>
        <v>0</v>
      </c>
      <c r="P50" s="348">
        <f t="shared" si="4"/>
        <v>0</v>
      </c>
      <c r="R50" s="227">
        <v>1.1304E-4</v>
      </c>
      <c r="S50" s="228"/>
    </row>
    <row r="51" spans="1:19">
      <c r="A51" s="216" t="s">
        <v>189</v>
      </c>
      <c r="B51" s="341" t="s">
        <v>187</v>
      </c>
      <c r="C51" s="396" t="s">
        <v>231</v>
      </c>
      <c r="D51" s="397"/>
      <c r="E51" s="397"/>
      <c r="F51" s="397"/>
      <c r="G51" s="397"/>
      <c r="H51" s="220"/>
      <c r="I51" s="220"/>
      <c r="J51" s="220"/>
      <c r="K51" s="221">
        <v>0.45500000000000002</v>
      </c>
      <c r="L51" s="344">
        <f>0.9*0.9*3.14/4*8.9/1000*40</f>
        <v>0.22636260000000005</v>
      </c>
      <c r="M51" s="345">
        <f t="shared" si="11"/>
        <v>0</v>
      </c>
      <c r="N51" s="346">
        <f t="shared" si="12"/>
        <v>0</v>
      </c>
      <c r="O51" s="347">
        <f t="shared" si="13"/>
        <v>0</v>
      </c>
      <c r="P51" s="348">
        <f t="shared" si="4"/>
        <v>0</v>
      </c>
      <c r="R51" s="227">
        <v>2.0096E-4</v>
      </c>
      <c r="S51" s="228">
        <f t="shared" si="14"/>
        <v>0</v>
      </c>
    </row>
    <row r="52" spans="1:19">
      <c r="A52" s="216" t="s">
        <v>189</v>
      </c>
      <c r="B52" s="341" t="s">
        <v>187</v>
      </c>
      <c r="C52" s="396" t="s">
        <v>232</v>
      </c>
      <c r="D52" s="397"/>
      <c r="E52" s="397"/>
      <c r="F52" s="397"/>
      <c r="G52" s="397"/>
      <c r="H52" s="220"/>
      <c r="I52" s="220"/>
      <c r="J52" s="220"/>
      <c r="K52" s="221">
        <v>0.65</v>
      </c>
      <c r="L52" s="344">
        <f>0.9*0.9*3.14/4*8.9/1000*60</f>
        <v>0.33954390000000007</v>
      </c>
      <c r="M52" s="345">
        <f t="shared" si="11"/>
        <v>0</v>
      </c>
      <c r="N52" s="346">
        <f t="shared" si="12"/>
        <v>0</v>
      </c>
      <c r="O52" s="347">
        <f t="shared" si="13"/>
        <v>0</v>
      </c>
      <c r="P52" s="348">
        <f t="shared" si="4"/>
        <v>0</v>
      </c>
      <c r="R52" s="227">
        <v>2.8338499999999998E-4</v>
      </c>
      <c r="S52" s="228"/>
    </row>
    <row r="53" spans="1:19">
      <c r="A53" s="216" t="s">
        <v>189</v>
      </c>
      <c r="B53" s="341" t="s">
        <v>187</v>
      </c>
      <c r="C53" s="396" t="s">
        <v>233</v>
      </c>
      <c r="D53" s="397"/>
      <c r="E53" s="397"/>
      <c r="F53" s="397"/>
      <c r="G53" s="397"/>
      <c r="H53" s="220"/>
      <c r="I53" s="220"/>
      <c r="J53" s="220"/>
      <c r="K53" s="221">
        <v>1.04</v>
      </c>
      <c r="L53" s="344">
        <f>0.9*0.9*3.14/4*8.9/1000*100</f>
        <v>0.56590650000000009</v>
      </c>
      <c r="M53" s="345">
        <f t="shared" si="11"/>
        <v>0</v>
      </c>
      <c r="N53" s="346">
        <f t="shared" si="12"/>
        <v>0</v>
      </c>
      <c r="O53" s="347">
        <f t="shared" si="13"/>
        <v>0</v>
      </c>
      <c r="P53" s="348">
        <f t="shared" si="4"/>
        <v>0</v>
      </c>
      <c r="R53" s="227">
        <v>4.5216000000000001E-4</v>
      </c>
      <c r="S53" s="228"/>
    </row>
    <row r="54" spans="1:19">
      <c r="A54" s="216" t="s">
        <v>189</v>
      </c>
      <c r="B54" s="349" t="s">
        <v>187</v>
      </c>
      <c r="C54" s="399" t="s">
        <v>234</v>
      </c>
      <c r="D54" s="400"/>
      <c r="E54" s="400"/>
      <c r="F54" s="400"/>
      <c r="G54" s="400"/>
      <c r="H54" s="234"/>
      <c r="I54" s="234"/>
      <c r="J54" s="234"/>
      <c r="K54" s="233">
        <v>2.04</v>
      </c>
      <c r="L54" s="404">
        <f>0.9*0.9*3.14/4*8.9/1000*200</f>
        <v>1.1318130000000002</v>
      </c>
      <c r="M54" s="353">
        <f t="shared" si="11"/>
        <v>0</v>
      </c>
      <c r="N54" s="354">
        <f t="shared" si="12"/>
        <v>0</v>
      </c>
      <c r="O54" s="355">
        <f t="shared" si="13"/>
        <v>0</v>
      </c>
      <c r="P54" s="348">
        <f t="shared" si="4"/>
        <v>0</v>
      </c>
      <c r="R54" s="227">
        <v>8.8096625000000015E-4</v>
      </c>
      <c r="S54" s="228"/>
    </row>
    <row r="55" spans="1:19">
      <c r="A55" s="216" t="s">
        <v>189</v>
      </c>
      <c r="B55" s="356"/>
      <c r="C55" s="390" t="s">
        <v>225</v>
      </c>
      <c r="D55" s="390"/>
      <c r="E55" s="390"/>
      <c r="F55" s="390"/>
      <c r="G55" s="390"/>
      <c r="H55" s="357"/>
      <c r="I55" s="357"/>
      <c r="J55" s="357"/>
      <c r="K55" s="357"/>
      <c r="L55" s="405"/>
      <c r="M55" s="359"/>
      <c r="N55" s="360" t="s">
        <v>164</v>
      </c>
      <c r="O55" s="361" t="s">
        <v>164</v>
      </c>
      <c r="P55" s="362" t="s">
        <v>193</v>
      </c>
      <c r="R55" s="227"/>
      <c r="S55" s="228"/>
    </row>
    <row r="56" spans="1:19">
      <c r="A56" s="216" t="s">
        <v>189</v>
      </c>
      <c r="B56" s="401" t="s">
        <v>235</v>
      </c>
      <c r="C56" s="333" t="s">
        <v>212</v>
      </c>
      <c r="D56" s="334"/>
      <c r="E56" s="334"/>
      <c r="F56" s="334"/>
      <c r="G56" s="334"/>
      <c r="H56" s="250"/>
      <c r="I56" s="250"/>
      <c r="J56" s="250"/>
      <c r="K56" s="251">
        <v>0.05</v>
      </c>
      <c r="L56" s="335">
        <v>0.02</v>
      </c>
      <c r="M56" s="336">
        <f t="shared" ref="M56:M67" si="15">SUM(D56:J56)</f>
        <v>0</v>
      </c>
      <c r="N56" s="392">
        <f t="shared" ref="N56:N67" si="16">K56*M56</f>
        <v>0</v>
      </c>
      <c r="O56" s="393">
        <f t="shared" ref="O56:O67" si="17">L56*M56</f>
        <v>0</v>
      </c>
      <c r="P56" s="348">
        <f t="shared" si="4"/>
        <v>0</v>
      </c>
      <c r="R56" s="227">
        <v>2.2229999999999999E-5</v>
      </c>
      <c r="S56" s="228"/>
    </row>
    <row r="57" spans="1:19">
      <c r="A57" s="216" t="s">
        <v>189</v>
      </c>
      <c r="B57" s="403">
        <v>1.2</v>
      </c>
      <c r="C57" s="342" t="s">
        <v>213</v>
      </c>
      <c r="D57" s="343"/>
      <c r="E57" s="343"/>
      <c r="F57" s="343"/>
      <c r="G57" s="343"/>
      <c r="H57" s="220"/>
      <c r="I57" s="220"/>
      <c r="J57" s="220"/>
      <c r="K57" s="221">
        <v>6.5000000000000002E-2</v>
      </c>
      <c r="L57" s="344">
        <v>0.03</v>
      </c>
      <c r="M57" s="345">
        <f t="shared" si="15"/>
        <v>0</v>
      </c>
      <c r="N57" s="346">
        <f t="shared" si="16"/>
        <v>0</v>
      </c>
      <c r="O57" s="347">
        <f t="shared" si="17"/>
        <v>0</v>
      </c>
      <c r="P57" s="348">
        <f t="shared" si="4"/>
        <v>0</v>
      </c>
      <c r="R57" s="227">
        <v>2.9249999999999999E-5</v>
      </c>
      <c r="S57" s="228"/>
    </row>
    <row r="58" spans="1:19">
      <c r="A58" s="216" t="s">
        <v>189</v>
      </c>
      <c r="B58" s="341" t="s">
        <v>187</v>
      </c>
      <c r="C58" s="342" t="s">
        <v>210</v>
      </c>
      <c r="D58" s="343"/>
      <c r="E58" s="343"/>
      <c r="F58" s="343"/>
      <c r="G58" s="343"/>
      <c r="H58" s="220"/>
      <c r="I58" s="220"/>
      <c r="J58" s="220"/>
      <c r="K58" s="221">
        <v>0.08</v>
      </c>
      <c r="L58" s="344">
        <v>0.04</v>
      </c>
      <c r="M58" s="345">
        <f t="shared" si="15"/>
        <v>0</v>
      </c>
      <c r="N58" s="346">
        <f t="shared" si="16"/>
        <v>0</v>
      </c>
      <c r="O58" s="347">
        <f t="shared" si="17"/>
        <v>0</v>
      </c>
      <c r="P58" s="348">
        <f t="shared" si="4"/>
        <v>0</v>
      </c>
      <c r="R58" s="227">
        <v>3.8465000000000005E-5</v>
      </c>
      <c r="S58" s="228"/>
    </row>
    <row r="59" spans="1:19">
      <c r="A59" s="216" t="s">
        <v>189</v>
      </c>
      <c r="B59" s="341" t="s">
        <v>187</v>
      </c>
      <c r="C59" s="342" t="s">
        <v>236</v>
      </c>
      <c r="D59" s="343"/>
      <c r="E59" s="343"/>
      <c r="F59" s="343"/>
      <c r="G59" s="343"/>
      <c r="H59" s="220"/>
      <c r="I59" s="220"/>
      <c r="J59" s="220"/>
      <c r="K59" s="221">
        <v>9.5000000000000001E-2</v>
      </c>
      <c r="L59" s="344">
        <v>0.05</v>
      </c>
      <c r="M59" s="345">
        <f t="shared" si="15"/>
        <v>0</v>
      </c>
      <c r="N59" s="346">
        <f t="shared" si="16"/>
        <v>0</v>
      </c>
      <c r="O59" s="347">
        <f t="shared" si="17"/>
        <v>0</v>
      </c>
      <c r="P59" s="348">
        <f t="shared" si="4"/>
        <v>0</v>
      </c>
      <c r="R59" s="227"/>
      <c r="S59" s="228"/>
    </row>
    <row r="60" spans="1:19">
      <c r="A60" s="216" t="s">
        <v>189</v>
      </c>
      <c r="B60" s="341" t="s">
        <v>187</v>
      </c>
      <c r="C60" s="396" t="s">
        <v>215</v>
      </c>
      <c r="D60" s="397"/>
      <c r="E60" s="397"/>
      <c r="F60" s="397"/>
      <c r="G60" s="397"/>
      <c r="H60" s="220"/>
      <c r="I60" s="220"/>
      <c r="J60" s="220"/>
      <c r="K60" s="221">
        <v>0.16500000000000001</v>
      </c>
      <c r="L60" s="344">
        <v>0.06</v>
      </c>
      <c r="M60" s="345">
        <f t="shared" si="15"/>
        <v>0</v>
      </c>
      <c r="N60" s="346">
        <f t="shared" si="16"/>
        <v>0</v>
      </c>
      <c r="O60" s="347">
        <f t="shared" si="17"/>
        <v>0</v>
      </c>
      <c r="P60" s="348">
        <f t="shared" si="4"/>
        <v>0</v>
      </c>
      <c r="R60" s="227">
        <v>7.0846249999999996E-5</v>
      </c>
      <c r="S60" s="228"/>
    </row>
    <row r="61" spans="1:19">
      <c r="A61" s="216" t="s">
        <v>189</v>
      </c>
      <c r="B61" s="341" t="s">
        <v>187</v>
      </c>
      <c r="C61" s="406" t="s">
        <v>228</v>
      </c>
      <c r="D61" s="407"/>
      <c r="E61" s="407"/>
      <c r="F61" s="407"/>
      <c r="G61" s="407"/>
      <c r="H61" s="408"/>
      <c r="I61" s="408"/>
      <c r="J61" s="408"/>
      <c r="K61" s="409">
        <v>0.23</v>
      </c>
      <c r="L61" s="344">
        <v>0.1</v>
      </c>
      <c r="M61" s="345">
        <f t="shared" si="15"/>
        <v>0</v>
      </c>
      <c r="N61" s="346">
        <f t="shared" si="16"/>
        <v>0</v>
      </c>
      <c r="O61" s="347">
        <f t="shared" si="17"/>
        <v>0</v>
      </c>
      <c r="P61" s="348">
        <f t="shared" si="4"/>
        <v>0</v>
      </c>
      <c r="R61" s="227">
        <v>9.4984999999999999E-5</v>
      </c>
      <c r="S61" s="228"/>
    </row>
    <row r="62" spans="1:19">
      <c r="A62" s="216" t="s">
        <v>189</v>
      </c>
      <c r="B62" s="341" t="s">
        <v>187</v>
      </c>
      <c r="C62" s="406" t="s">
        <v>229</v>
      </c>
      <c r="D62" s="407"/>
      <c r="E62" s="407"/>
      <c r="F62" s="407"/>
      <c r="G62" s="407"/>
      <c r="H62" s="408"/>
      <c r="I62" s="408"/>
      <c r="J62" s="408"/>
      <c r="K62" s="409">
        <v>0.3</v>
      </c>
      <c r="L62" s="344">
        <v>0.14000000000000001</v>
      </c>
      <c r="M62" s="345">
        <f t="shared" si="15"/>
        <v>0</v>
      </c>
      <c r="N62" s="346">
        <f t="shared" si="16"/>
        <v>0</v>
      </c>
      <c r="O62" s="347">
        <f t="shared" si="17"/>
        <v>0</v>
      </c>
      <c r="P62" s="348">
        <f t="shared" si="4"/>
        <v>0</v>
      </c>
      <c r="R62" s="227">
        <v>1.1304E-4</v>
      </c>
      <c r="S62" s="228"/>
    </row>
    <row r="63" spans="1:19">
      <c r="A63" s="216" t="s">
        <v>189</v>
      </c>
      <c r="B63" s="341" t="s">
        <v>187</v>
      </c>
      <c r="C63" s="406" t="s">
        <v>230</v>
      </c>
      <c r="D63" s="407"/>
      <c r="E63" s="407"/>
      <c r="F63" s="407"/>
      <c r="G63" s="407"/>
      <c r="H63" s="408"/>
      <c r="I63" s="408"/>
      <c r="J63" s="408"/>
      <c r="K63" s="409">
        <v>0.4</v>
      </c>
      <c r="L63" s="344">
        <v>0.2</v>
      </c>
      <c r="M63" s="345">
        <f t="shared" si="15"/>
        <v>0</v>
      </c>
      <c r="N63" s="346">
        <f t="shared" si="16"/>
        <v>0</v>
      </c>
      <c r="O63" s="347">
        <f t="shared" si="17"/>
        <v>0</v>
      </c>
      <c r="P63" s="348">
        <f t="shared" si="4"/>
        <v>0</v>
      </c>
      <c r="R63" s="227">
        <v>1.6504625000000002E-4</v>
      </c>
      <c r="S63" s="228"/>
    </row>
    <row r="64" spans="1:19">
      <c r="A64" s="216" t="s">
        <v>189</v>
      </c>
      <c r="B64" s="341" t="s">
        <v>187</v>
      </c>
      <c r="C64" s="406" t="s">
        <v>231</v>
      </c>
      <c r="D64" s="407"/>
      <c r="E64" s="407"/>
      <c r="F64" s="407"/>
      <c r="G64" s="407"/>
      <c r="H64" s="408"/>
      <c r="I64" s="408"/>
      <c r="J64" s="408"/>
      <c r="K64" s="409">
        <v>0.745</v>
      </c>
      <c r="L64" s="344">
        <v>0.4</v>
      </c>
      <c r="M64" s="345">
        <f t="shared" si="15"/>
        <v>0</v>
      </c>
      <c r="N64" s="346">
        <f t="shared" si="16"/>
        <v>0</v>
      </c>
      <c r="O64" s="347">
        <f t="shared" si="17"/>
        <v>0</v>
      </c>
      <c r="P64" s="348">
        <f t="shared" si="4"/>
        <v>0</v>
      </c>
      <c r="R64" s="227">
        <v>2.8338499999999998E-4</v>
      </c>
      <c r="S64" s="228"/>
    </row>
    <row r="65" spans="1:19">
      <c r="A65" s="216" t="s">
        <v>189</v>
      </c>
      <c r="B65" s="341" t="s">
        <v>187</v>
      </c>
      <c r="C65" s="406" t="s">
        <v>232</v>
      </c>
      <c r="D65" s="407"/>
      <c r="E65" s="407"/>
      <c r="F65" s="407"/>
      <c r="G65" s="407"/>
      <c r="H65" s="408"/>
      <c r="I65" s="408"/>
      <c r="J65" s="408"/>
      <c r="K65" s="409">
        <v>1.08</v>
      </c>
      <c r="L65" s="344">
        <v>0.6</v>
      </c>
      <c r="M65" s="345">
        <f t="shared" si="15"/>
        <v>0</v>
      </c>
      <c r="N65" s="346">
        <f t="shared" si="16"/>
        <v>0</v>
      </c>
      <c r="O65" s="347">
        <f t="shared" si="17"/>
        <v>0</v>
      </c>
      <c r="P65" s="348">
        <f t="shared" si="4"/>
        <v>0</v>
      </c>
      <c r="R65" s="227">
        <v>4.15265E-4</v>
      </c>
      <c r="S65" s="228"/>
    </row>
    <row r="66" spans="1:19">
      <c r="A66" s="216" t="s">
        <v>189</v>
      </c>
      <c r="B66" s="341" t="s">
        <v>187</v>
      </c>
      <c r="C66" s="406" t="s">
        <v>233</v>
      </c>
      <c r="D66" s="407"/>
      <c r="E66" s="407"/>
      <c r="F66" s="407"/>
      <c r="G66" s="407"/>
      <c r="H66" s="408"/>
      <c r="I66" s="408"/>
      <c r="J66" s="408"/>
      <c r="K66" s="409">
        <v>1.78</v>
      </c>
      <c r="L66" s="344">
        <v>1</v>
      </c>
      <c r="M66" s="345">
        <f t="shared" si="15"/>
        <v>0</v>
      </c>
      <c r="N66" s="346">
        <f t="shared" si="16"/>
        <v>0</v>
      </c>
      <c r="O66" s="347">
        <f t="shared" si="17"/>
        <v>0</v>
      </c>
      <c r="P66" s="348">
        <f t="shared" si="4"/>
        <v>0</v>
      </c>
      <c r="R66" s="227">
        <v>7.0649999999999999E-4</v>
      </c>
      <c r="S66" s="228"/>
    </row>
    <row r="67" spans="1:19">
      <c r="A67" s="216" t="s">
        <v>189</v>
      </c>
      <c r="B67" s="349" t="s">
        <v>187</v>
      </c>
      <c r="C67" s="410" t="s">
        <v>234</v>
      </c>
      <c r="D67" s="411"/>
      <c r="E67" s="411"/>
      <c r="F67" s="411"/>
      <c r="G67" s="411"/>
      <c r="H67" s="412"/>
      <c r="I67" s="412"/>
      <c r="J67" s="412"/>
      <c r="K67" s="413">
        <v>3.44</v>
      </c>
      <c r="L67" s="352">
        <v>2</v>
      </c>
      <c r="M67" s="353">
        <f t="shared" si="15"/>
        <v>0</v>
      </c>
      <c r="N67" s="354">
        <f t="shared" si="16"/>
        <v>0</v>
      </c>
      <c r="O67" s="355">
        <f t="shared" si="17"/>
        <v>0</v>
      </c>
      <c r="P67" s="348">
        <f t="shared" si="4"/>
        <v>0</v>
      </c>
      <c r="R67" s="227">
        <v>1.2875962500000001E-3</v>
      </c>
      <c r="S67" s="228"/>
    </row>
    <row r="68" spans="1:19">
      <c r="A68" s="216" t="s">
        <v>189</v>
      </c>
      <c r="B68" s="414"/>
      <c r="C68" s="415" t="s">
        <v>225</v>
      </c>
      <c r="D68" s="415"/>
      <c r="E68" s="415"/>
      <c r="F68" s="415"/>
      <c r="G68" s="415"/>
      <c r="H68" s="416"/>
      <c r="I68" s="416"/>
      <c r="J68" s="416"/>
      <c r="K68" s="416"/>
      <c r="L68" s="417"/>
      <c r="M68" s="418"/>
      <c r="N68" s="360" t="s">
        <v>164</v>
      </c>
      <c r="O68" s="361" t="s">
        <v>164</v>
      </c>
      <c r="P68" s="362" t="s">
        <v>193</v>
      </c>
      <c r="R68" s="227"/>
      <c r="S68" s="228"/>
    </row>
    <row r="69" spans="1:19">
      <c r="A69" s="216" t="s">
        <v>189</v>
      </c>
      <c r="B69" s="419" t="s">
        <v>237</v>
      </c>
      <c r="C69" s="420" t="s">
        <v>238</v>
      </c>
      <c r="D69" s="421"/>
      <c r="E69" s="421"/>
      <c r="F69" s="421"/>
      <c r="G69" s="421"/>
      <c r="H69" s="422"/>
      <c r="I69" s="422"/>
      <c r="J69" s="422"/>
      <c r="K69" s="423">
        <v>6.3E-2</v>
      </c>
      <c r="L69" s="424">
        <f>1.05*1.05*3.14/4*8.96/1000</f>
        <v>7.7545440000000012E-3</v>
      </c>
      <c r="M69" s="336">
        <f>SUM(D69:J69)</f>
        <v>0</v>
      </c>
      <c r="N69" s="392">
        <f>K69*M69</f>
        <v>0</v>
      </c>
      <c r="O69" s="393">
        <f>L69*M69</f>
        <v>0</v>
      </c>
      <c r="P69" s="348">
        <f t="shared" si="4"/>
        <v>0</v>
      </c>
      <c r="R69" s="227">
        <v>4.6542650000000007E-5</v>
      </c>
      <c r="S69" s="228">
        <f t="shared" ref="S69:S70" si="18">M69*R69</f>
        <v>0</v>
      </c>
    </row>
    <row r="70" spans="1:19">
      <c r="A70" s="216" t="s">
        <v>189</v>
      </c>
      <c r="B70" s="425" t="s">
        <v>239</v>
      </c>
      <c r="C70" s="426" t="s">
        <v>240</v>
      </c>
      <c r="D70" s="427"/>
      <c r="E70" s="427"/>
      <c r="F70" s="427"/>
      <c r="G70" s="427"/>
      <c r="H70" s="412"/>
      <c r="I70" s="412"/>
      <c r="J70" s="412"/>
      <c r="K70" s="413">
        <v>0.105</v>
      </c>
      <c r="L70" s="428">
        <f>1.5*1.5*3.14/4*8.9/1000</f>
        <v>1.5719625000000001E-2</v>
      </c>
      <c r="M70" s="353">
        <f>SUM(D70:J70)</f>
        <v>0</v>
      </c>
      <c r="N70" s="354">
        <f>K70*M70</f>
        <v>0</v>
      </c>
      <c r="O70" s="355">
        <f>L70*M70</f>
        <v>0</v>
      </c>
      <c r="P70" s="348">
        <f t="shared" si="4"/>
        <v>0</v>
      </c>
      <c r="R70" s="227">
        <v>8.1671399999999985E-5</v>
      </c>
      <c r="S70" s="228">
        <f t="shared" si="18"/>
        <v>0</v>
      </c>
    </row>
    <row r="71" spans="1:19">
      <c r="A71" s="216" t="s">
        <v>189</v>
      </c>
      <c r="B71" s="429"/>
      <c r="C71" s="430"/>
      <c r="D71" s="430"/>
      <c r="E71" s="430"/>
      <c r="F71" s="430"/>
      <c r="G71" s="430"/>
      <c r="H71" s="431"/>
      <c r="I71" s="431"/>
      <c r="J71" s="431"/>
      <c r="K71" s="431"/>
      <c r="L71" s="432"/>
      <c r="M71" s="433"/>
      <c r="N71" s="360" t="s">
        <v>164</v>
      </c>
      <c r="O71" s="361" t="s">
        <v>164</v>
      </c>
      <c r="P71" s="362" t="s">
        <v>193</v>
      </c>
      <c r="R71" s="227"/>
      <c r="S71" s="228"/>
    </row>
    <row r="72" spans="1:19">
      <c r="A72" s="216" t="s">
        <v>189</v>
      </c>
      <c r="B72" s="434" t="s">
        <v>241</v>
      </c>
      <c r="C72" s="435" t="s">
        <v>242</v>
      </c>
      <c r="D72" s="436"/>
      <c r="E72" s="436"/>
      <c r="F72" s="436"/>
      <c r="G72" s="436"/>
      <c r="H72" s="437"/>
      <c r="I72" s="437"/>
      <c r="J72" s="437"/>
      <c r="K72" s="438">
        <v>6.6000000000000003E-2</v>
      </c>
      <c r="L72" s="439">
        <f>0.75*0.75*3.14/4*8.96/1000*2</f>
        <v>7.9128000000000011E-3</v>
      </c>
      <c r="M72" s="440">
        <f>SUM(D72:J72)</f>
        <v>0</v>
      </c>
      <c r="N72" s="329">
        <f>K72*M72</f>
        <v>0</v>
      </c>
      <c r="O72" s="441">
        <f>L72*M72</f>
        <v>0</v>
      </c>
      <c r="P72" s="348">
        <f t="shared" si="4"/>
        <v>0</v>
      </c>
      <c r="R72" s="227"/>
      <c r="S72" s="228"/>
    </row>
    <row r="73" spans="1:19">
      <c r="A73" s="216" t="s">
        <v>189</v>
      </c>
      <c r="B73" s="434" t="s">
        <v>243</v>
      </c>
      <c r="C73" s="442"/>
      <c r="D73" s="442"/>
      <c r="E73" s="442"/>
      <c r="F73" s="442"/>
      <c r="G73" s="442"/>
      <c r="H73" s="438"/>
      <c r="I73" s="438"/>
      <c r="J73" s="438"/>
      <c r="K73" s="438"/>
      <c r="L73" s="439"/>
      <c r="M73" s="433"/>
      <c r="N73" s="360" t="s">
        <v>164</v>
      </c>
      <c r="O73" s="361" t="s">
        <v>164</v>
      </c>
      <c r="P73" s="362" t="s">
        <v>193</v>
      </c>
      <c r="R73" s="227"/>
      <c r="S73" s="228"/>
    </row>
    <row r="74" spans="1:19">
      <c r="A74" s="292"/>
      <c r="B74" s="443"/>
      <c r="C74" s="285"/>
      <c r="D74" s="285"/>
      <c r="E74" s="285"/>
      <c r="F74" s="285"/>
      <c r="G74" s="285"/>
      <c r="H74" s="285"/>
      <c r="I74" s="285"/>
      <c r="J74" s="285"/>
      <c r="K74" s="285"/>
      <c r="L74" s="444"/>
      <c r="M74" s="440">
        <f>SUM(D74:J74)</f>
        <v>0</v>
      </c>
      <c r="N74" s="445">
        <f>K74*M74</f>
        <v>0</v>
      </c>
      <c r="O74" s="446">
        <f>L74*M74</f>
        <v>0</v>
      </c>
      <c r="P74" s="348">
        <f>N74-O74</f>
        <v>0</v>
      </c>
      <c r="R74" s="227"/>
      <c r="S74" s="228"/>
    </row>
    <row r="75" spans="1:19">
      <c r="A75" s="292"/>
      <c r="B75" s="447"/>
      <c r="C75" s="448"/>
      <c r="D75" s="448"/>
      <c r="E75" s="448"/>
      <c r="F75" s="448"/>
      <c r="G75" s="448"/>
      <c r="H75" s="448"/>
      <c r="I75" s="448"/>
      <c r="J75" s="448"/>
      <c r="K75" s="448"/>
      <c r="L75" s="449"/>
      <c r="M75" s="440">
        <f>SUM(D75:J75)</f>
        <v>0</v>
      </c>
      <c r="N75" s="445">
        <f>K75*M75</f>
        <v>0</v>
      </c>
      <c r="O75" s="446">
        <f>L75*M75</f>
        <v>0</v>
      </c>
      <c r="P75" s="348">
        <f>N75-O75</f>
        <v>0</v>
      </c>
      <c r="R75" s="227"/>
      <c r="S75" s="228"/>
    </row>
    <row r="76" spans="1:19">
      <c r="A76" s="292"/>
      <c r="B76" s="450"/>
      <c r="C76" s="451"/>
      <c r="D76" s="451"/>
      <c r="E76" s="451"/>
      <c r="F76" s="451"/>
      <c r="G76" s="451"/>
      <c r="H76" s="285"/>
      <c r="I76" s="285"/>
      <c r="J76" s="285"/>
      <c r="K76" s="285"/>
      <c r="L76" s="444"/>
      <c r="M76" s="440">
        <f>SUM(D76:J76)</f>
        <v>0</v>
      </c>
      <c r="N76" s="360">
        <f>K76*M76</f>
        <v>0</v>
      </c>
      <c r="O76" s="452">
        <f>L76*M76</f>
        <v>0</v>
      </c>
      <c r="P76" s="348">
        <f>N76-O76</f>
        <v>0</v>
      </c>
      <c r="R76" s="299"/>
      <c r="S76" s="300"/>
    </row>
    <row r="77" spans="1:19" ht="19.5" thickBot="1">
      <c r="A77" s="453"/>
      <c r="B77" s="302" t="s">
        <v>69</v>
      </c>
      <c r="C77" s="303"/>
      <c r="D77" s="303"/>
      <c r="E77" s="303"/>
      <c r="F77" s="303"/>
      <c r="G77" s="303"/>
      <c r="H77" s="303"/>
      <c r="I77" s="303"/>
      <c r="J77" s="303"/>
      <c r="K77" s="303"/>
      <c r="L77" s="303"/>
      <c r="M77" s="304" t="s">
        <v>244</v>
      </c>
      <c r="N77" s="454">
        <f>SUM(N4:N76)</f>
        <v>0</v>
      </c>
      <c r="O77" s="455">
        <f>SUM(O4:O76)</f>
        <v>0</v>
      </c>
      <c r="P77" s="456">
        <f>SUM(P4:P76)</f>
        <v>0</v>
      </c>
      <c r="R77" s="308" t="s">
        <v>26</v>
      </c>
      <c r="S77" s="309">
        <f>SUM(S4:S76)</f>
        <v>0</v>
      </c>
    </row>
    <row r="78" spans="1:19">
      <c r="S78" s="60"/>
    </row>
    <row r="79" spans="1:19">
      <c r="S79" s="60"/>
    </row>
  </sheetData>
  <mergeCells count="4">
    <mergeCell ref="B2:B3"/>
    <mergeCell ref="C2:C3"/>
    <mergeCell ref="D2:J2"/>
    <mergeCell ref="M2:M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0FAD-3119-4C7A-9822-6ED88DBC3A25}">
  <dimension ref="A1:T128"/>
  <sheetViews>
    <sheetView view="pageBreakPreview" topLeftCell="B1" zoomScaleNormal="100" workbookViewId="0">
      <pane xSplit="2" ySplit="3" topLeftCell="D4" activePane="bottomRight" state="frozen"/>
      <selection activeCell="I19" sqref="I19"/>
      <selection pane="topRight" activeCell="I19" sqref="I19"/>
      <selection pane="bottomLeft" activeCell="I19" sqref="I19"/>
      <selection pane="bottomRight" activeCell="F21" sqref="F21"/>
    </sheetView>
  </sheetViews>
  <sheetFormatPr defaultRowHeight="13.5"/>
  <cols>
    <col min="1" max="1" width="10.375" style="457" hidden="1" customWidth="1"/>
    <col min="2" max="2" width="13.125" style="457" customWidth="1"/>
    <col min="3" max="3" width="9.625" style="457" customWidth="1"/>
    <col min="4" max="12" width="8.625" style="180" customWidth="1"/>
    <col min="13" max="15" width="9.625" style="180" customWidth="1"/>
    <col min="16" max="16" width="9" style="464"/>
    <col min="17" max="19" width="12.625" style="459" customWidth="1"/>
    <col min="20" max="20" width="9" style="457"/>
    <col min="21" max="255" width="9" style="180"/>
    <col min="256" max="256" width="0" style="180" hidden="1" customWidth="1"/>
    <col min="257" max="257" width="13.125" style="180" customWidth="1"/>
    <col min="258" max="258" width="9.625" style="180" customWidth="1"/>
    <col min="259" max="267" width="8.625" style="180" customWidth="1"/>
    <col min="268" max="270" width="9.625" style="180" customWidth="1"/>
    <col min="271" max="511" width="9" style="180"/>
    <col min="512" max="512" width="0" style="180" hidden="1" customWidth="1"/>
    <col min="513" max="513" width="13.125" style="180" customWidth="1"/>
    <col min="514" max="514" width="9.625" style="180" customWidth="1"/>
    <col min="515" max="523" width="8.625" style="180" customWidth="1"/>
    <col min="524" max="526" width="9.625" style="180" customWidth="1"/>
    <col min="527" max="767" width="9" style="180"/>
    <col min="768" max="768" width="0" style="180" hidden="1" customWidth="1"/>
    <col min="769" max="769" width="13.125" style="180" customWidth="1"/>
    <col min="770" max="770" width="9.625" style="180" customWidth="1"/>
    <col min="771" max="779" width="8.625" style="180" customWidth="1"/>
    <col min="780" max="782" width="9.625" style="180" customWidth="1"/>
    <col min="783" max="1023" width="9" style="180"/>
    <col min="1024" max="1024" width="0" style="180" hidden="1" customWidth="1"/>
    <col min="1025" max="1025" width="13.125" style="180" customWidth="1"/>
    <col min="1026" max="1026" width="9.625" style="180" customWidth="1"/>
    <col min="1027" max="1035" width="8.625" style="180" customWidth="1"/>
    <col min="1036" max="1038" width="9.625" style="180" customWidth="1"/>
    <col min="1039" max="1279" width="9" style="180"/>
    <col min="1280" max="1280" width="0" style="180" hidden="1" customWidth="1"/>
    <col min="1281" max="1281" width="13.125" style="180" customWidth="1"/>
    <col min="1282" max="1282" width="9.625" style="180" customWidth="1"/>
    <col min="1283" max="1291" width="8.625" style="180" customWidth="1"/>
    <col min="1292" max="1294" width="9.625" style="180" customWidth="1"/>
    <col min="1295" max="1535" width="9" style="180"/>
    <col min="1536" max="1536" width="0" style="180" hidden="1" customWidth="1"/>
    <col min="1537" max="1537" width="13.125" style="180" customWidth="1"/>
    <col min="1538" max="1538" width="9.625" style="180" customWidth="1"/>
    <col min="1539" max="1547" width="8.625" style="180" customWidth="1"/>
    <col min="1548" max="1550" width="9.625" style="180" customWidth="1"/>
    <col min="1551" max="1791" width="9" style="180"/>
    <col min="1792" max="1792" width="0" style="180" hidden="1" customWidth="1"/>
    <col min="1793" max="1793" width="13.125" style="180" customWidth="1"/>
    <col min="1794" max="1794" width="9.625" style="180" customWidth="1"/>
    <col min="1795" max="1803" width="8.625" style="180" customWidth="1"/>
    <col min="1804" max="1806" width="9.625" style="180" customWidth="1"/>
    <col min="1807" max="2047" width="9" style="180"/>
    <col min="2048" max="2048" width="0" style="180" hidden="1" customWidth="1"/>
    <col min="2049" max="2049" width="13.125" style="180" customWidth="1"/>
    <col min="2050" max="2050" width="9.625" style="180" customWidth="1"/>
    <col min="2051" max="2059" width="8.625" style="180" customWidth="1"/>
    <col min="2060" max="2062" width="9.625" style="180" customWidth="1"/>
    <col min="2063" max="2303" width="9" style="180"/>
    <col min="2304" max="2304" width="0" style="180" hidden="1" customWidth="1"/>
    <col min="2305" max="2305" width="13.125" style="180" customWidth="1"/>
    <col min="2306" max="2306" width="9.625" style="180" customWidth="1"/>
    <col min="2307" max="2315" width="8.625" style="180" customWidth="1"/>
    <col min="2316" max="2318" width="9.625" style="180" customWidth="1"/>
    <col min="2319" max="2559" width="9" style="180"/>
    <col min="2560" max="2560" width="0" style="180" hidden="1" customWidth="1"/>
    <col min="2561" max="2561" width="13.125" style="180" customWidth="1"/>
    <col min="2562" max="2562" width="9.625" style="180" customWidth="1"/>
    <col min="2563" max="2571" width="8.625" style="180" customWidth="1"/>
    <col min="2572" max="2574" width="9.625" style="180" customWidth="1"/>
    <col min="2575" max="2815" width="9" style="180"/>
    <col min="2816" max="2816" width="0" style="180" hidden="1" customWidth="1"/>
    <col min="2817" max="2817" width="13.125" style="180" customWidth="1"/>
    <col min="2818" max="2818" width="9.625" style="180" customWidth="1"/>
    <col min="2819" max="2827" width="8.625" style="180" customWidth="1"/>
    <col min="2828" max="2830" width="9.625" style="180" customWidth="1"/>
    <col min="2831" max="3071" width="9" style="180"/>
    <col min="3072" max="3072" width="0" style="180" hidden="1" customWidth="1"/>
    <col min="3073" max="3073" width="13.125" style="180" customWidth="1"/>
    <col min="3074" max="3074" width="9.625" style="180" customWidth="1"/>
    <col min="3075" max="3083" width="8.625" style="180" customWidth="1"/>
    <col min="3084" max="3086" width="9.625" style="180" customWidth="1"/>
    <col min="3087" max="3327" width="9" style="180"/>
    <col min="3328" max="3328" width="0" style="180" hidden="1" customWidth="1"/>
    <col min="3329" max="3329" width="13.125" style="180" customWidth="1"/>
    <col min="3330" max="3330" width="9.625" style="180" customWidth="1"/>
    <col min="3331" max="3339" width="8.625" style="180" customWidth="1"/>
    <col min="3340" max="3342" width="9.625" style="180" customWidth="1"/>
    <col min="3343" max="3583" width="9" style="180"/>
    <col min="3584" max="3584" width="0" style="180" hidden="1" customWidth="1"/>
    <col min="3585" max="3585" width="13.125" style="180" customWidth="1"/>
    <col min="3586" max="3586" width="9.625" style="180" customWidth="1"/>
    <col min="3587" max="3595" width="8.625" style="180" customWidth="1"/>
    <col min="3596" max="3598" width="9.625" style="180" customWidth="1"/>
    <col min="3599" max="3839" width="9" style="180"/>
    <col min="3840" max="3840" width="0" style="180" hidden="1" customWidth="1"/>
    <col min="3841" max="3841" width="13.125" style="180" customWidth="1"/>
    <col min="3842" max="3842" width="9.625" style="180" customWidth="1"/>
    <col min="3843" max="3851" width="8.625" style="180" customWidth="1"/>
    <col min="3852" max="3854" width="9.625" style="180" customWidth="1"/>
    <col min="3855" max="4095" width="9" style="180"/>
    <col min="4096" max="4096" width="0" style="180" hidden="1" customWidth="1"/>
    <col min="4097" max="4097" width="13.125" style="180" customWidth="1"/>
    <col min="4098" max="4098" width="9.625" style="180" customWidth="1"/>
    <col min="4099" max="4107" width="8.625" style="180" customWidth="1"/>
    <col min="4108" max="4110" width="9.625" style="180" customWidth="1"/>
    <col min="4111" max="4351" width="9" style="180"/>
    <col min="4352" max="4352" width="0" style="180" hidden="1" customWidth="1"/>
    <col min="4353" max="4353" width="13.125" style="180" customWidth="1"/>
    <col min="4354" max="4354" width="9.625" style="180" customWidth="1"/>
    <col min="4355" max="4363" width="8.625" style="180" customWidth="1"/>
    <col min="4364" max="4366" width="9.625" style="180" customWidth="1"/>
    <col min="4367" max="4607" width="9" style="180"/>
    <col min="4608" max="4608" width="0" style="180" hidden="1" customWidth="1"/>
    <col min="4609" max="4609" width="13.125" style="180" customWidth="1"/>
    <col min="4610" max="4610" width="9.625" style="180" customWidth="1"/>
    <col min="4611" max="4619" width="8.625" style="180" customWidth="1"/>
    <col min="4620" max="4622" width="9.625" style="180" customWidth="1"/>
    <col min="4623" max="4863" width="9" style="180"/>
    <col min="4864" max="4864" width="0" style="180" hidden="1" customWidth="1"/>
    <col min="4865" max="4865" width="13.125" style="180" customWidth="1"/>
    <col min="4866" max="4866" width="9.625" style="180" customWidth="1"/>
    <col min="4867" max="4875" width="8.625" style="180" customWidth="1"/>
    <col min="4876" max="4878" width="9.625" style="180" customWidth="1"/>
    <col min="4879" max="5119" width="9" style="180"/>
    <col min="5120" max="5120" width="0" style="180" hidden="1" customWidth="1"/>
    <col min="5121" max="5121" width="13.125" style="180" customWidth="1"/>
    <col min="5122" max="5122" width="9.625" style="180" customWidth="1"/>
    <col min="5123" max="5131" width="8.625" style="180" customWidth="1"/>
    <col min="5132" max="5134" width="9.625" style="180" customWidth="1"/>
    <col min="5135" max="5375" width="9" style="180"/>
    <col min="5376" max="5376" width="0" style="180" hidden="1" customWidth="1"/>
    <col min="5377" max="5377" width="13.125" style="180" customWidth="1"/>
    <col min="5378" max="5378" width="9.625" style="180" customWidth="1"/>
    <col min="5379" max="5387" width="8.625" style="180" customWidth="1"/>
    <col min="5388" max="5390" width="9.625" style="180" customWidth="1"/>
    <col min="5391" max="5631" width="9" style="180"/>
    <col min="5632" max="5632" width="0" style="180" hidden="1" customWidth="1"/>
    <col min="5633" max="5633" width="13.125" style="180" customWidth="1"/>
    <col min="5634" max="5634" width="9.625" style="180" customWidth="1"/>
    <col min="5635" max="5643" width="8.625" style="180" customWidth="1"/>
    <col min="5644" max="5646" width="9.625" style="180" customWidth="1"/>
    <col min="5647" max="5887" width="9" style="180"/>
    <col min="5888" max="5888" width="0" style="180" hidden="1" customWidth="1"/>
    <col min="5889" max="5889" width="13.125" style="180" customWidth="1"/>
    <col min="5890" max="5890" width="9.625" style="180" customWidth="1"/>
    <col min="5891" max="5899" width="8.625" style="180" customWidth="1"/>
    <col min="5900" max="5902" width="9.625" style="180" customWidth="1"/>
    <col min="5903" max="6143" width="9" style="180"/>
    <col min="6144" max="6144" width="0" style="180" hidden="1" customWidth="1"/>
    <col min="6145" max="6145" width="13.125" style="180" customWidth="1"/>
    <col min="6146" max="6146" width="9.625" style="180" customWidth="1"/>
    <col min="6147" max="6155" width="8.625" style="180" customWidth="1"/>
    <col min="6156" max="6158" width="9.625" style="180" customWidth="1"/>
    <col min="6159" max="6399" width="9" style="180"/>
    <col min="6400" max="6400" width="0" style="180" hidden="1" customWidth="1"/>
    <col min="6401" max="6401" width="13.125" style="180" customWidth="1"/>
    <col min="6402" max="6402" width="9.625" style="180" customWidth="1"/>
    <col min="6403" max="6411" width="8.625" style="180" customWidth="1"/>
    <col min="6412" max="6414" width="9.625" style="180" customWidth="1"/>
    <col min="6415" max="6655" width="9" style="180"/>
    <col min="6656" max="6656" width="0" style="180" hidden="1" customWidth="1"/>
    <col min="6657" max="6657" width="13.125" style="180" customWidth="1"/>
    <col min="6658" max="6658" width="9.625" style="180" customWidth="1"/>
    <col min="6659" max="6667" width="8.625" style="180" customWidth="1"/>
    <col min="6668" max="6670" width="9.625" style="180" customWidth="1"/>
    <col min="6671" max="6911" width="9" style="180"/>
    <col min="6912" max="6912" width="0" style="180" hidden="1" customWidth="1"/>
    <col min="6913" max="6913" width="13.125" style="180" customWidth="1"/>
    <col min="6914" max="6914" width="9.625" style="180" customWidth="1"/>
    <col min="6915" max="6923" width="8.625" style="180" customWidth="1"/>
    <col min="6924" max="6926" width="9.625" style="180" customWidth="1"/>
    <col min="6927" max="7167" width="9" style="180"/>
    <col min="7168" max="7168" width="0" style="180" hidden="1" customWidth="1"/>
    <col min="7169" max="7169" width="13.125" style="180" customWidth="1"/>
    <col min="7170" max="7170" width="9.625" style="180" customWidth="1"/>
    <col min="7171" max="7179" width="8.625" style="180" customWidth="1"/>
    <col min="7180" max="7182" width="9.625" style="180" customWidth="1"/>
    <col min="7183" max="7423" width="9" style="180"/>
    <col min="7424" max="7424" width="0" style="180" hidden="1" customWidth="1"/>
    <col min="7425" max="7425" width="13.125" style="180" customWidth="1"/>
    <col min="7426" max="7426" width="9.625" style="180" customWidth="1"/>
    <col min="7427" max="7435" width="8.625" style="180" customWidth="1"/>
    <col min="7436" max="7438" width="9.625" style="180" customWidth="1"/>
    <col min="7439" max="7679" width="9" style="180"/>
    <col min="7680" max="7680" width="0" style="180" hidden="1" customWidth="1"/>
    <col min="7681" max="7681" width="13.125" style="180" customWidth="1"/>
    <col min="7682" max="7682" width="9.625" style="180" customWidth="1"/>
    <col min="7683" max="7691" width="8.625" style="180" customWidth="1"/>
    <col min="7692" max="7694" width="9.625" style="180" customWidth="1"/>
    <col min="7695" max="7935" width="9" style="180"/>
    <col min="7936" max="7936" width="0" style="180" hidden="1" customWidth="1"/>
    <col min="7937" max="7937" width="13.125" style="180" customWidth="1"/>
    <col min="7938" max="7938" width="9.625" style="180" customWidth="1"/>
    <col min="7939" max="7947" width="8.625" style="180" customWidth="1"/>
    <col min="7948" max="7950" width="9.625" style="180" customWidth="1"/>
    <col min="7951" max="8191" width="9" style="180"/>
    <col min="8192" max="8192" width="0" style="180" hidden="1" customWidth="1"/>
    <col min="8193" max="8193" width="13.125" style="180" customWidth="1"/>
    <col min="8194" max="8194" width="9.625" style="180" customWidth="1"/>
    <col min="8195" max="8203" width="8.625" style="180" customWidth="1"/>
    <col min="8204" max="8206" width="9.625" style="180" customWidth="1"/>
    <col min="8207" max="8447" width="9" style="180"/>
    <col min="8448" max="8448" width="0" style="180" hidden="1" customWidth="1"/>
    <col min="8449" max="8449" width="13.125" style="180" customWidth="1"/>
    <col min="8450" max="8450" width="9.625" style="180" customWidth="1"/>
    <col min="8451" max="8459" width="8.625" style="180" customWidth="1"/>
    <col min="8460" max="8462" width="9.625" style="180" customWidth="1"/>
    <col min="8463" max="8703" width="9" style="180"/>
    <col min="8704" max="8704" width="0" style="180" hidden="1" customWidth="1"/>
    <col min="8705" max="8705" width="13.125" style="180" customWidth="1"/>
    <col min="8706" max="8706" width="9.625" style="180" customWidth="1"/>
    <col min="8707" max="8715" width="8.625" style="180" customWidth="1"/>
    <col min="8716" max="8718" width="9.625" style="180" customWidth="1"/>
    <col min="8719" max="8959" width="9" style="180"/>
    <col min="8960" max="8960" width="0" style="180" hidden="1" customWidth="1"/>
    <col min="8961" max="8961" width="13.125" style="180" customWidth="1"/>
    <col min="8962" max="8962" width="9.625" style="180" customWidth="1"/>
    <col min="8963" max="8971" width="8.625" style="180" customWidth="1"/>
    <col min="8972" max="8974" width="9.625" style="180" customWidth="1"/>
    <col min="8975" max="9215" width="9" style="180"/>
    <col min="9216" max="9216" width="0" style="180" hidden="1" customWidth="1"/>
    <col min="9217" max="9217" width="13.125" style="180" customWidth="1"/>
    <col min="9218" max="9218" width="9.625" style="180" customWidth="1"/>
    <col min="9219" max="9227" width="8.625" style="180" customWidth="1"/>
    <col min="9228" max="9230" width="9.625" style="180" customWidth="1"/>
    <col min="9231" max="9471" width="9" style="180"/>
    <col min="9472" max="9472" width="0" style="180" hidden="1" customWidth="1"/>
    <col min="9473" max="9473" width="13.125" style="180" customWidth="1"/>
    <col min="9474" max="9474" width="9.625" style="180" customWidth="1"/>
    <col min="9475" max="9483" width="8.625" style="180" customWidth="1"/>
    <col min="9484" max="9486" width="9.625" style="180" customWidth="1"/>
    <col min="9487" max="9727" width="9" style="180"/>
    <col min="9728" max="9728" width="0" style="180" hidden="1" customWidth="1"/>
    <col min="9729" max="9729" width="13.125" style="180" customWidth="1"/>
    <col min="9730" max="9730" width="9.625" style="180" customWidth="1"/>
    <col min="9731" max="9739" width="8.625" style="180" customWidth="1"/>
    <col min="9740" max="9742" width="9.625" style="180" customWidth="1"/>
    <col min="9743" max="9983" width="9" style="180"/>
    <col min="9984" max="9984" width="0" style="180" hidden="1" customWidth="1"/>
    <col min="9985" max="9985" width="13.125" style="180" customWidth="1"/>
    <col min="9986" max="9986" width="9.625" style="180" customWidth="1"/>
    <col min="9987" max="9995" width="8.625" style="180" customWidth="1"/>
    <col min="9996" max="9998" width="9.625" style="180" customWidth="1"/>
    <col min="9999" max="10239" width="9" style="180"/>
    <col min="10240" max="10240" width="0" style="180" hidden="1" customWidth="1"/>
    <col min="10241" max="10241" width="13.125" style="180" customWidth="1"/>
    <col min="10242" max="10242" width="9.625" style="180" customWidth="1"/>
    <col min="10243" max="10251" width="8.625" style="180" customWidth="1"/>
    <col min="10252" max="10254" width="9.625" style="180" customWidth="1"/>
    <col min="10255" max="10495" width="9" style="180"/>
    <col min="10496" max="10496" width="0" style="180" hidden="1" customWidth="1"/>
    <col min="10497" max="10497" width="13.125" style="180" customWidth="1"/>
    <col min="10498" max="10498" width="9.625" style="180" customWidth="1"/>
    <col min="10499" max="10507" width="8.625" style="180" customWidth="1"/>
    <col min="10508" max="10510" width="9.625" style="180" customWidth="1"/>
    <col min="10511" max="10751" width="9" style="180"/>
    <col min="10752" max="10752" width="0" style="180" hidden="1" customWidth="1"/>
    <col min="10753" max="10753" width="13.125" style="180" customWidth="1"/>
    <col min="10754" max="10754" width="9.625" style="180" customWidth="1"/>
    <col min="10755" max="10763" width="8.625" style="180" customWidth="1"/>
    <col min="10764" max="10766" width="9.625" style="180" customWidth="1"/>
    <col min="10767" max="11007" width="9" style="180"/>
    <col min="11008" max="11008" width="0" style="180" hidden="1" customWidth="1"/>
    <col min="11009" max="11009" width="13.125" style="180" customWidth="1"/>
    <col min="11010" max="11010" width="9.625" style="180" customWidth="1"/>
    <col min="11011" max="11019" width="8.625" style="180" customWidth="1"/>
    <col min="11020" max="11022" width="9.625" style="180" customWidth="1"/>
    <col min="11023" max="11263" width="9" style="180"/>
    <col min="11264" max="11264" width="0" style="180" hidden="1" customWidth="1"/>
    <col min="11265" max="11265" width="13.125" style="180" customWidth="1"/>
    <col min="11266" max="11266" width="9.625" style="180" customWidth="1"/>
    <col min="11267" max="11275" width="8.625" style="180" customWidth="1"/>
    <col min="11276" max="11278" width="9.625" style="180" customWidth="1"/>
    <col min="11279" max="11519" width="9" style="180"/>
    <col min="11520" max="11520" width="0" style="180" hidden="1" customWidth="1"/>
    <col min="11521" max="11521" width="13.125" style="180" customWidth="1"/>
    <col min="11522" max="11522" width="9.625" style="180" customWidth="1"/>
    <col min="11523" max="11531" width="8.625" style="180" customWidth="1"/>
    <col min="11532" max="11534" width="9.625" style="180" customWidth="1"/>
    <col min="11535" max="11775" width="9" style="180"/>
    <col min="11776" max="11776" width="0" style="180" hidden="1" customWidth="1"/>
    <col min="11777" max="11777" width="13.125" style="180" customWidth="1"/>
    <col min="11778" max="11778" width="9.625" style="180" customWidth="1"/>
    <col min="11779" max="11787" width="8.625" style="180" customWidth="1"/>
    <col min="11788" max="11790" width="9.625" style="180" customWidth="1"/>
    <col min="11791" max="12031" width="9" style="180"/>
    <col min="12032" max="12032" width="0" style="180" hidden="1" customWidth="1"/>
    <col min="12033" max="12033" width="13.125" style="180" customWidth="1"/>
    <col min="12034" max="12034" width="9.625" style="180" customWidth="1"/>
    <col min="12035" max="12043" width="8.625" style="180" customWidth="1"/>
    <col min="12044" max="12046" width="9.625" style="180" customWidth="1"/>
    <col min="12047" max="12287" width="9" style="180"/>
    <col min="12288" max="12288" width="0" style="180" hidden="1" customWidth="1"/>
    <col min="12289" max="12289" width="13.125" style="180" customWidth="1"/>
    <col min="12290" max="12290" width="9.625" style="180" customWidth="1"/>
    <col min="12291" max="12299" width="8.625" style="180" customWidth="1"/>
    <col min="12300" max="12302" width="9.625" style="180" customWidth="1"/>
    <col min="12303" max="12543" width="9" style="180"/>
    <col min="12544" max="12544" width="0" style="180" hidden="1" customWidth="1"/>
    <col min="12545" max="12545" width="13.125" style="180" customWidth="1"/>
    <col min="12546" max="12546" width="9.625" style="180" customWidth="1"/>
    <col min="12547" max="12555" width="8.625" style="180" customWidth="1"/>
    <col min="12556" max="12558" width="9.625" style="180" customWidth="1"/>
    <col min="12559" max="12799" width="9" style="180"/>
    <col min="12800" max="12800" width="0" style="180" hidden="1" customWidth="1"/>
    <col min="12801" max="12801" width="13.125" style="180" customWidth="1"/>
    <col min="12802" max="12802" width="9.625" style="180" customWidth="1"/>
    <col min="12803" max="12811" width="8.625" style="180" customWidth="1"/>
    <col min="12812" max="12814" width="9.625" style="180" customWidth="1"/>
    <col min="12815" max="13055" width="9" style="180"/>
    <col min="13056" max="13056" width="0" style="180" hidden="1" customWidth="1"/>
    <col min="13057" max="13057" width="13.125" style="180" customWidth="1"/>
    <col min="13058" max="13058" width="9.625" style="180" customWidth="1"/>
    <col min="13059" max="13067" width="8.625" style="180" customWidth="1"/>
    <col min="13068" max="13070" width="9.625" style="180" customWidth="1"/>
    <col min="13071" max="13311" width="9" style="180"/>
    <col min="13312" max="13312" width="0" style="180" hidden="1" customWidth="1"/>
    <col min="13313" max="13313" width="13.125" style="180" customWidth="1"/>
    <col min="13314" max="13314" width="9.625" style="180" customWidth="1"/>
    <col min="13315" max="13323" width="8.625" style="180" customWidth="1"/>
    <col min="13324" max="13326" width="9.625" style="180" customWidth="1"/>
    <col min="13327" max="13567" width="9" style="180"/>
    <col min="13568" max="13568" width="0" style="180" hidden="1" customWidth="1"/>
    <col min="13569" max="13569" width="13.125" style="180" customWidth="1"/>
    <col min="13570" max="13570" width="9.625" style="180" customWidth="1"/>
    <col min="13571" max="13579" width="8.625" style="180" customWidth="1"/>
    <col min="13580" max="13582" width="9.625" style="180" customWidth="1"/>
    <col min="13583" max="13823" width="9" style="180"/>
    <col min="13824" max="13824" width="0" style="180" hidden="1" customWidth="1"/>
    <col min="13825" max="13825" width="13.125" style="180" customWidth="1"/>
    <col min="13826" max="13826" width="9.625" style="180" customWidth="1"/>
    <col min="13827" max="13835" width="8.625" style="180" customWidth="1"/>
    <col min="13836" max="13838" width="9.625" style="180" customWidth="1"/>
    <col min="13839" max="14079" width="9" style="180"/>
    <col min="14080" max="14080" width="0" style="180" hidden="1" customWidth="1"/>
    <col min="14081" max="14081" width="13.125" style="180" customWidth="1"/>
    <col min="14082" max="14082" width="9.625" style="180" customWidth="1"/>
    <col min="14083" max="14091" width="8.625" style="180" customWidth="1"/>
    <col min="14092" max="14094" width="9.625" style="180" customWidth="1"/>
    <col min="14095" max="14335" width="9" style="180"/>
    <col min="14336" max="14336" width="0" style="180" hidden="1" customWidth="1"/>
    <col min="14337" max="14337" width="13.125" style="180" customWidth="1"/>
    <col min="14338" max="14338" width="9.625" style="180" customWidth="1"/>
    <col min="14339" max="14347" width="8.625" style="180" customWidth="1"/>
    <col min="14348" max="14350" width="9.625" style="180" customWidth="1"/>
    <col min="14351" max="14591" width="9" style="180"/>
    <col min="14592" max="14592" width="0" style="180" hidden="1" customWidth="1"/>
    <col min="14593" max="14593" width="13.125" style="180" customWidth="1"/>
    <col min="14594" max="14594" width="9.625" style="180" customWidth="1"/>
    <col min="14595" max="14603" width="8.625" style="180" customWidth="1"/>
    <col min="14604" max="14606" width="9.625" style="180" customWidth="1"/>
    <col min="14607" max="14847" width="9" style="180"/>
    <col min="14848" max="14848" width="0" style="180" hidden="1" customWidth="1"/>
    <col min="14849" max="14849" width="13.125" style="180" customWidth="1"/>
    <col min="14850" max="14850" width="9.625" style="180" customWidth="1"/>
    <col min="14851" max="14859" width="8.625" style="180" customWidth="1"/>
    <col min="14860" max="14862" width="9.625" style="180" customWidth="1"/>
    <col min="14863" max="15103" width="9" style="180"/>
    <col min="15104" max="15104" width="0" style="180" hidden="1" customWidth="1"/>
    <col min="15105" max="15105" width="13.125" style="180" customWidth="1"/>
    <col min="15106" max="15106" width="9.625" style="180" customWidth="1"/>
    <col min="15107" max="15115" width="8.625" style="180" customWidth="1"/>
    <col min="15116" max="15118" width="9.625" style="180" customWidth="1"/>
    <col min="15119" max="15359" width="9" style="180"/>
    <col min="15360" max="15360" width="0" style="180" hidden="1" customWidth="1"/>
    <col min="15361" max="15361" width="13.125" style="180" customWidth="1"/>
    <col min="15362" max="15362" width="9.625" style="180" customWidth="1"/>
    <col min="15363" max="15371" width="8.625" style="180" customWidth="1"/>
    <col min="15372" max="15374" width="9.625" style="180" customWidth="1"/>
    <col min="15375" max="15615" width="9" style="180"/>
    <col min="15616" max="15616" width="0" style="180" hidden="1" customWidth="1"/>
    <col min="15617" max="15617" width="13.125" style="180" customWidth="1"/>
    <col min="15618" max="15618" width="9.625" style="180" customWidth="1"/>
    <col min="15619" max="15627" width="8.625" style="180" customWidth="1"/>
    <col min="15628" max="15630" width="9.625" style="180" customWidth="1"/>
    <col min="15631" max="15871" width="9" style="180"/>
    <col min="15872" max="15872" width="0" style="180" hidden="1" customWidth="1"/>
    <col min="15873" max="15873" width="13.125" style="180" customWidth="1"/>
    <col min="15874" max="15874" width="9.625" style="180" customWidth="1"/>
    <col min="15875" max="15883" width="8.625" style="180" customWidth="1"/>
    <col min="15884" max="15886" width="9.625" style="180" customWidth="1"/>
    <col min="15887" max="16127" width="9" style="180"/>
    <col min="16128" max="16128" width="0" style="180" hidden="1" customWidth="1"/>
    <col min="16129" max="16129" width="13.125" style="180" customWidth="1"/>
    <col min="16130" max="16130" width="9.625" style="180" customWidth="1"/>
    <col min="16131" max="16139" width="8.625" style="180" customWidth="1"/>
    <col min="16140" max="16142" width="9.625" style="180" customWidth="1"/>
    <col min="16143" max="16384" width="9" style="180"/>
  </cols>
  <sheetData>
    <row r="1" spans="1:19" ht="18" thickBot="1">
      <c r="A1" s="176"/>
      <c r="B1" s="176"/>
      <c r="C1" s="177"/>
      <c r="D1" s="177"/>
      <c r="E1" s="177"/>
      <c r="F1" s="458" t="s">
        <v>245</v>
      </c>
      <c r="G1" s="177"/>
      <c r="H1" s="457"/>
      <c r="I1" s="457"/>
      <c r="J1" s="177"/>
      <c r="K1" s="176" t="s">
        <v>168</v>
      </c>
      <c r="L1" s="182" t="e">
        <f>#REF!</f>
        <v>#REF!</v>
      </c>
      <c r="M1" s="184"/>
      <c r="N1" s="182"/>
      <c r="O1" s="183"/>
      <c r="P1" s="457"/>
    </row>
    <row r="2" spans="1:19" ht="27">
      <c r="A2" s="460"/>
      <c r="B2" s="792" t="s">
        <v>169</v>
      </c>
      <c r="C2" s="794" t="s">
        <v>170</v>
      </c>
      <c r="D2" s="796" t="s">
        <v>171</v>
      </c>
      <c r="E2" s="797"/>
      <c r="F2" s="797"/>
      <c r="G2" s="797"/>
      <c r="H2" s="797"/>
      <c r="I2" s="797"/>
      <c r="J2" s="798"/>
      <c r="K2" s="804" t="s">
        <v>246</v>
      </c>
      <c r="L2" s="799" t="s">
        <v>208</v>
      </c>
      <c r="M2" s="461" t="s">
        <v>176</v>
      </c>
      <c r="N2" s="462" t="s">
        <v>247</v>
      </c>
      <c r="O2" s="463"/>
      <c r="Q2" s="64" t="s">
        <v>83</v>
      </c>
      <c r="R2" s="65" t="s">
        <v>84</v>
      </c>
      <c r="S2" s="66" t="s">
        <v>73</v>
      </c>
    </row>
    <row r="3" spans="1:19" ht="27.75" thickBot="1">
      <c r="A3" s="465" t="s">
        <v>248</v>
      </c>
      <c r="B3" s="793"/>
      <c r="C3" s="795"/>
      <c r="D3" s="195"/>
      <c r="E3" s="195"/>
      <c r="F3" s="195"/>
      <c r="G3" s="195"/>
      <c r="H3" s="196"/>
      <c r="I3" s="196"/>
      <c r="J3" s="196"/>
      <c r="K3" s="805"/>
      <c r="L3" s="800"/>
      <c r="M3" s="197" t="s">
        <v>249</v>
      </c>
      <c r="N3" s="466" t="s">
        <v>250</v>
      </c>
      <c r="O3" s="467" t="s">
        <v>183</v>
      </c>
      <c r="Q3" s="77"/>
      <c r="R3" s="78" t="s">
        <v>88</v>
      </c>
      <c r="S3" s="79" t="s">
        <v>88</v>
      </c>
    </row>
    <row r="4" spans="1:19">
      <c r="A4" s="460" t="s">
        <v>245</v>
      </c>
      <c r="B4" s="468" t="s">
        <v>251</v>
      </c>
      <c r="C4" s="469" t="s">
        <v>252</v>
      </c>
      <c r="D4" s="470"/>
      <c r="E4" s="470"/>
      <c r="F4" s="470"/>
      <c r="G4" s="470"/>
      <c r="H4" s="470"/>
      <c r="I4" s="470"/>
      <c r="J4" s="470"/>
      <c r="K4" s="471">
        <v>0.08</v>
      </c>
      <c r="L4" s="472">
        <f t="shared" ref="L4:L9" si="0">SUM(D4:J4)</f>
        <v>0</v>
      </c>
      <c r="M4" s="473" t="s">
        <v>164</v>
      </c>
      <c r="N4" s="473" t="s">
        <v>164</v>
      </c>
      <c r="O4" s="474">
        <f>K4*L4</f>
        <v>0</v>
      </c>
      <c r="Q4" s="475">
        <v>8.3999999999999992E-6</v>
      </c>
      <c r="R4" s="476"/>
      <c r="S4" s="477">
        <f>L4*Q4</f>
        <v>0</v>
      </c>
    </row>
    <row r="5" spans="1:19">
      <c r="A5" s="478" t="s">
        <v>189</v>
      </c>
      <c r="B5" s="479" t="s">
        <v>253</v>
      </c>
      <c r="C5" s="480" t="s">
        <v>254</v>
      </c>
      <c r="D5" s="481"/>
      <c r="E5" s="481"/>
      <c r="F5" s="481"/>
      <c r="G5" s="481"/>
      <c r="H5" s="481"/>
      <c r="I5" s="481"/>
      <c r="J5" s="481"/>
      <c r="K5" s="482">
        <v>0.05</v>
      </c>
      <c r="L5" s="483">
        <f t="shared" si="0"/>
        <v>0</v>
      </c>
      <c r="M5" s="484" t="s">
        <v>164</v>
      </c>
      <c r="N5" s="484" t="s">
        <v>164</v>
      </c>
      <c r="O5" s="485">
        <f>K5*L5</f>
        <v>0</v>
      </c>
      <c r="Q5" s="486">
        <v>8.3999999999999992E-6</v>
      </c>
      <c r="R5" s="487"/>
      <c r="S5" s="488">
        <f>L5*Q5</f>
        <v>0</v>
      </c>
    </row>
    <row r="6" spans="1:19">
      <c r="A6" s="478"/>
      <c r="B6" s="489" t="s">
        <v>255</v>
      </c>
      <c r="C6" s="480"/>
      <c r="D6" s="481"/>
      <c r="E6" s="481"/>
      <c r="F6" s="481"/>
      <c r="G6" s="481"/>
      <c r="H6" s="481"/>
      <c r="I6" s="481"/>
      <c r="J6" s="481"/>
      <c r="K6" s="482">
        <v>2.4</v>
      </c>
      <c r="L6" s="483">
        <f t="shared" si="0"/>
        <v>0</v>
      </c>
      <c r="M6" s="484"/>
      <c r="N6" s="490">
        <f>K6*L6</f>
        <v>0</v>
      </c>
      <c r="O6" s="491"/>
      <c r="Q6" s="486">
        <v>1.35E-2</v>
      </c>
      <c r="R6" s="487">
        <f>L6*Q6</f>
        <v>0</v>
      </c>
      <c r="S6" s="488"/>
    </row>
    <row r="7" spans="1:19">
      <c r="A7" s="478"/>
      <c r="B7" s="489" t="s">
        <v>256</v>
      </c>
      <c r="C7" s="480"/>
      <c r="D7" s="481"/>
      <c r="E7" s="481"/>
      <c r="F7" s="481"/>
      <c r="G7" s="481"/>
      <c r="H7" s="481"/>
      <c r="I7" s="481"/>
      <c r="J7" s="481"/>
      <c r="K7" s="482">
        <v>3</v>
      </c>
      <c r="L7" s="483">
        <f t="shared" si="0"/>
        <v>0</v>
      </c>
      <c r="M7" s="484"/>
      <c r="N7" s="490">
        <f>K7*L7</f>
        <v>0</v>
      </c>
      <c r="O7" s="491"/>
      <c r="Q7" s="486">
        <v>2.0825E-2</v>
      </c>
      <c r="R7" s="487"/>
      <c r="S7" s="488"/>
    </row>
    <row r="8" spans="1:19">
      <c r="A8" s="478"/>
      <c r="B8" s="489" t="s">
        <v>255</v>
      </c>
      <c r="C8" s="492" t="s">
        <v>257</v>
      </c>
      <c r="D8" s="481"/>
      <c r="E8" s="481"/>
      <c r="F8" s="481"/>
      <c r="G8" s="481"/>
      <c r="H8" s="481"/>
      <c r="I8" s="481"/>
      <c r="J8" s="481"/>
      <c r="K8" s="482">
        <v>3.4</v>
      </c>
      <c r="L8" s="483">
        <f t="shared" si="0"/>
        <v>0</v>
      </c>
      <c r="M8" s="484"/>
      <c r="N8" s="490">
        <f>K8*L8</f>
        <v>0</v>
      </c>
      <c r="O8" s="491"/>
      <c r="Q8" s="486"/>
      <c r="R8" s="487"/>
      <c r="S8" s="488"/>
    </row>
    <row r="9" spans="1:19">
      <c r="A9" s="478"/>
      <c r="B9" s="493" t="s">
        <v>256</v>
      </c>
      <c r="C9" s="494" t="s">
        <v>257</v>
      </c>
      <c r="D9" s="495"/>
      <c r="E9" s="495"/>
      <c r="F9" s="495"/>
      <c r="G9" s="495"/>
      <c r="H9" s="495"/>
      <c r="I9" s="495"/>
      <c r="J9" s="495"/>
      <c r="K9" s="496">
        <v>4</v>
      </c>
      <c r="L9" s="497">
        <f t="shared" si="0"/>
        <v>0</v>
      </c>
      <c r="M9" s="498"/>
      <c r="N9" s="499">
        <f>K9*L9</f>
        <v>0</v>
      </c>
      <c r="O9" s="500"/>
      <c r="Q9" s="486"/>
      <c r="R9" s="487"/>
      <c r="S9" s="488"/>
    </row>
    <row r="10" spans="1:19">
      <c r="A10" s="478"/>
      <c r="B10" s="501"/>
      <c r="C10" s="502"/>
      <c r="D10" s="503"/>
      <c r="E10" s="503"/>
      <c r="F10" s="503"/>
      <c r="G10" s="503"/>
      <c r="H10" s="503"/>
      <c r="I10" s="503"/>
      <c r="J10" s="503"/>
      <c r="K10" s="504"/>
      <c r="L10" s="505" t="s">
        <v>164</v>
      </c>
      <c r="M10" s="506"/>
      <c r="N10" s="506"/>
      <c r="O10" s="507"/>
      <c r="Q10" s="486"/>
      <c r="R10" s="487"/>
      <c r="S10" s="488"/>
    </row>
    <row r="11" spans="1:19">
      <c r="A11" s="478" t="s">
        <v>189</v>
      </c>
      <c r="B11" s="508" t="s">
        <v>258</v>
      </c>
      <c r="C11" s="509"/>
      <c r="D11" s="510"/>
      <c r="E11" s="510"/>
      <c r="F11" s="510"/>
      <c r="G11" s="510"/>
      <c r="H11" s="510"/>
      <c r="I11" s="510"/>
      <c r="J11" s="510"/>
      <c r="K11" s="511">
        <v>0.05</v>
      </c>
      <c r="L11" s="512">
        <f>SUM(D11:J11)</f>
        <v>0</v>
      </c>
      <c r="M11" s="513"/>
      <c r="N11" s="513"/>
      <c r="O11" s="514">
        <f>K11*L11</f>
        <v>0</v>
      </c>
      <c r="Q11" s="486"/>
      <c r="R11" s="487"/>
      <c r="S11" s="488"/>
    </row>
    <row r="12" spans="1:19">
      <c r="A12" s="478" t="s">
        <v>189</v>
      </c>
      <c r="B12" s="489" t="s">
        <v>259</v>
      </c>
      <c r="C12" s="480" t="s">
        <v>254</v>
      </c>
      <c r="D12" s="481"/>
      <c r="E12" s="481"/>
      <c r="F12" s="481"/>
      <c r="G12" s="481"/>
      <c r="H12" s="481"/>
      <c r="I12" s="481"/>
      <c r="J12" s="481"/>
      <c r="K12" s="482">
        <v>0.05</v>
      </c>
      <c r="L12" s="483">
        <f>SUM(D12:J12)</f>
        <v>0</v>
      </c>
      <c r="M12" s="484" t="s">
        <v>164</v>
      </c>
      <c r="N12" s="484" t="s">
        <v>164</v>
      </c>
      <c r="O12" s="485">
        <f>K12*L12</f>
        <v>0</v>
      </c>
      <c r="Q12" s="486"/>
      <c r="R12" s="487"/>
      <c r="S12" s="488"/>
    </row>
    <row r="13" spans="1:19">
      <c r="A13" s="478"/>
      <c r="B13" s="493" t="s">
        <v>260</v>
      </c>
      <c r="C13" s="515"/>
      <c r="D13" s="495"/>
      <c r="E13" s="495"/>
      <c r="F13" s="495"/>
      <c r="G13" s="495"/>
      <c r="H13" s="495"/>
      <c r="I13" s="495"/>
      <c r="J13" s="495"/>
      <c r="K13" s="496">
        <v>0.2</v>
      </c>
      <c r="L13" s="497">
        <f>SUM(D13:J13)</f>
        <v>0</v>
      </c>
      <c r="M13" s="498"/>
      <c r="N13" s="498"/>
      <c r="O13" s="516">
        <f>K13*L13</f>
        <v>0</v>
      </c>
      <c r="Q13" s="486"/>
      <c r="R13" s="487"/>
      <c r="S13" s="488"/>
    </row>
    <row r="14" spans="1:19">
      <c r="A14" s="478" t="s">
        <v>189</v>
      </c>
      <c r="B14" s="508" t="s">
        <v>261</v>
      </c>
      <c r="C14" s="509" t="s">
        <v>254</v>
      </c>
      <c r="D14" s="510"/>
      <c r="E14" s="510"/>
      <c r="F14" s="510"/>
      <c r="G14" s="510"/>
      <c r="H14" s="510"/>
      <c r="I14" s="510"/>
      <c r="J14" s="510"/>
      <c r="K14" s="511">
        <v>0.05</v>
      </c>
      <c r="L14" s="512">
        <f t="shared" ref="L14:L20" si="1">SUM(D14:J14)</f>
        <v>0</v>
      </c>
      <c r="M14" s="513" t="s">
        <v>164</v>
      </c>
      <c r="N14" s="517">
        <f>K14*L14</f>
        <v>0</v>
      </c>
      <c r="O14" s="518" t="s">
        <v>164</v>
      </c>
      <c r="Q14" s="486">
        <v>1.4112E-4</v>
      </c>
      <c r="R14" s="487">
        <f>L14*Q14</f>
        <v>0</v>
      </c>
      <c r="S14" s="488"/>
    </row>
    <row r="15" spans="1:19">
      <c r="A15" s="478" t="s">
        <v>189</v>
      </c>
      <c r="B15" s="479" t="s">
        <v>262</v>
      </c>
      <c r="C15" s="480" t="s">
        <v>164</v>
      </c>
      <c r="D15" s="481"/>
      <c r="E15" s="481"/>
      <c r="F15" s="481"/>
      <c r="G15" s="481"/>
      <c r="H15" s="481"/>
      <c r="I15" s="481"/>
      <c r="J15" s="481"/>
      <c r="K15" s="482">
        <v>0.22</v>
      </c>
      <c r="L15" s="483">
        <f t="shared" si="1"/>
        <v>0</v>
      </c>
      <c r="M15" s="484" t="s">
        <v>164</v>
      </c>
      <c r="N15" s="490">
        <f>K15*L15</f>
        <v>0</v>
      </c>
      <c r="O15" s="491" t="s">
        <v>164</v>
      </c>
      <c r="Q15" s="486">
        <v>6.3099000000000014E-5</v>
      </c>
      <c r="R15" s="487">
        <f t="shared" ref="R15:R18" si="2">L15*Q15</f>
        <v>0</v>
      </c>
      <c r="S15" s="488"/>
    </row>
    <row r="16" spans="1:19">
      <c r="A16" s="478" t="s">
        <v>189</v>
      </c>
      <c r="B16" s="489" t="s">
        <v>263</v>
      </c>
      <c r="C16" s="480" t="s">
        <v>164</v>
      </c>
      <c r="D16" s="481"/>
      <c r="E16" s="481"/>
      <c r="F16" s="481"/>
      <c r="G16" s="481"/>
      <c r="H16" s="481"/>
      <c r="I16" s="481"/>
      <c r="J16" s="481"/>
      <c r="K16" s="482">
        <v>0.3</v>
      </c>
      <c r="L16" s="483">
        <f t="shared" si="1"/>
        <v>0</v>
      </c>
      <c r="M16" s="484" t="s">
        <v>164</v>
      </c>
      <c r="N16" s="490">
        <f>K16*L16</f>
        <v>0</v>
      </c>
      <c r="O16" s="491" t="s">
        <v>164</v>
      </c>
      <c r="Q16" s="486">
        <v>6.3099000000000014E-5</v>
      </c>
      <c r="R16" s="487">
        <f t="shared" si="2"/>
        <v>0</v>
      </c>
      <c r="S16" s="488"/>
    </row>
    <row r="17" spans="1:19">
      <c r="A17" s="478" t="s">
        <v>189</v>
      </c>
      <c r="B17" s="479" t="s">
        <v>264</v>
      </c>
      <c r="C17" s="480" t="s">
        <v>164</v>
      </c>
      <c r="D17" s="481"/>
      <c r="E17" s="481"/>
      <c r="F17" s="481"/>
      <c r="G17" s="481"/>
      <c r="H17" s="481"/>
      <c r="I17" s="481"/>
      <c r="J17" s="481"/>
      <c r="K17" s="482">
        <v>1.7</v>
      </c>
      <c r="L17" s="483">
        <f t="shared" si="1"/>
        <v>0</v>
      </c>
      <c r="M17" s="484" t="s">
        <v>164</v>
      </c>
      <c r="N17" s="490">
        <f>K17*L17</f>
        <v>0</v>
      </c>
      <c r="O17" s="491" t="s">
        <v>164</v>
      </c>
      <c r="Q17" s="486">
        <v>2.220372E-3</v>
      </c>
      <c r="R17" s="487">
        <f t="shared" si="2"/>
        <v>0</v>
      </c>
      <c r="S17" s="488"/>
    </row>
    <row r="18" spans="1:19">
      <c r="A18" s="478" t="s">
        <v>189</v>
      </c>
      <c r="B18" s="479" t="s">
        <v>265</v>
      </c>
      <c r="C18" s="492" t="s">
        <v>266</v>
      </c>
      <c r="D18" s="481"/>
      <c r="E18" s="481"/>
      <c r="F18" s="481"/>
      <c r="G18" s="481"/>
      <c r="H18" s="481"/>
      <c r="I18" s="481"/>
      <c r="J18" s="481"/>
      <c r="K18" s="482">
        <v>2.5</v>
      </c>
      <c r="L18" s="483">
        <f t="shared" si="1"/>
        <v>0</v>
      </c>
      <c r="M18" s="484" t="s">
        <v>164</v>
      </c>
      <c r="N18" s="490">
        <f>K18*L18</f>
        <v>0</v>
      </c>
      <c r="O18" s="491" t="s">
        <v>164</v>
      </c>
      <c r="Q18" s="486">
        <v>0.18548399999999998</v>
      </c>
      <c r="R18" s="487">
        <f t="shared" si="2"/>
        <v>0</v>
      </c>
      <c r="S18" s="488"/>
    </row>
    <row r="19" spans="1:19">
      <c r="A19" s="478" t="s">
        <v>189</v>
      </c>
      <c r="B19" s="519" t="s">
        <v>267</v>
      </c>
      <c r="C19" s="494" t="s">
        <v>268</v>
      </c>
      <c r="D19" s="495"/>
      <c r="E19" s="495"/>
      <c r="F19" s="495"/>
      <c r="G19" s="495"/>
      <c r="H19" s="495"/>
      <c r="I19" s="495"/>
      <c r="J19" s="495"/>
      <c r="K19" s="496">
        <v>20.5</v>
      </c>
      <c r="L19" s="497">
        <f t="shared" si="1"/>
        <v>0</v>
      </c>
      <c r="M19" s="499">
        <f>K19*L19</f>
        <v>0</v>
      </c>
      <c r="N19" s="498" t="s">
        <v>164</v>
      </c>
      <c r="O19" s="500" t="s">
        <v>164</v>
      </c>
      <c r="Q19" s="486">
        <v>4.5844000000000005E-6</v>
      </c>
      <c r="R19" s="487"/>
      <c r="S19" s="488"/>
    </row>
    <row r="20" spans="1:19">
      <c r="A20" s="478" t="s">
        <v>189</v>
      </c>
      <c r="B20" s="479" t="s">
        <v>269</v>
      </c>
      <c r="C20" s="492"/>
      <c r="D20" s="481"/>
      <c r="E20" s="481"/>
      <c r="F20" s="481"/>
      <c r="G20" s="481"/>
      <c r="H20" s="481"/>
      <c r="I20" s="481"/>
      <c r="J20" s="481"/>
      <c r="K20" s="482">
        <v>13.5</v>
      </c>
      <c r="L20" s="483">
        <f t="shared" si="1"/>
        <v>0</v>
      </c>
      <c r="M20" s="484" t="s">
        <v>164</v>
      </c>
      <c r="N20" s="490">
        <f>K20*L20</f>
        <v>0</v>
      </c>
      <c r="O20" s="491" t="s">
        <v>164</v>
      </c>
      <c r="Q20" s="486"/>
      <c r="R20" s="487">
        <f>L20*Q20</f>
        <v>0</v>
      </c>
      <c r="S20" s="488"/>
    </row>
    <row r="21" spans="1:19">
      <c r="A21" s="478" t="s">
        <v>189</v>
      </c>
      <c r="B21" s="520" t="s">
        <v>270</v>
      </c>
      <c r="C21" s="521" t="s">
        <v>164</v>
      </c>
      <c r="D21" s="510"/>
      <c r="E21" s="510"/>
      <c r="F21" s="510"/>
      <c r="G21" s="510"/>
      <c r="H21" s="510"/>
      <c r="I21" s="510"/>
      <c r="J21" s="510"/>
      <c r="K21" s="511">
        <v>0.73</v>
      </c>
      <c r="L21" s="512">
        <f>SUM(D21:J21)</f>
        <v>0</v>
      </c>
      <c r="M21" s="513" t="s">
        <v>164</v>
      </c>
      <c r="N21" s="513" t="s">
        <v>164</v>
      </c>
      <c r="O21" s="514">
        <f>K21*L21</f>
        <v>0</v>
      </c>
      <c r="Q21" s="486"/>
      <c r="R21" s="487"/>
      <c r="S21" s="488"/>
    </row>
    <row r="22" spans="1:19">
      <c r="A22" s="478" t="s">
        <v>189</v>
      </c>
      <c r="B22" s="493" t="s">
        <v>271</v>
      </c>
      <c r="C22" s="522" t="s">
        <v>164</v>
      </c>
      <c r="D22" s="495"/>
      <c r="E22" s="495"/>
      <c r="F22" s="495"/>
      <c r="G22" s="495"/>
      <c r="H22" s="495"/>
      <c r="I22" s="495"/>
      <c r="J22" s="495"/>
      <c r="K22" s="496">
        <v>1.5</v>
      </c>
      <c r="L22" s="497">
        <f>SUM(D22:J22)</f>
        <v>0</v>
      </c>
      <c r="M22" s="498" t="s">
        <v>164</v>
      </c>
      <c r="N22" s="498" t="s">
        <v>164</v>
      </c>
      <c r="O22" s="516">
        <f>K22*L22</f>
        <v>0</v>
      </c>
      <c r="Q22" s="486"/>
      <c r="R22" s="487"/>
      <c r="S22" s="488"/>
    </row>
    <row r="23" spans="1:19">
      <c r="A23" s="478" t="s">
        <v>189</v>
      </c>
      <c r="B23" s="489" t="s">
        <v>272</v>
      </c>
      <c r="C23" s="480" t="s">
        <v>164</v>
      </c>
      <c r="D23" s="481"/>
      <c r="E23" s="481"/>
      <c r="F23" s="481"/>
      <c r="G23" s="481"/>
      <c r="H23" s="481"/>
      <c r="I23" s="481"/>
      <c r="J23" s="481"/>
      <c r="K23" s="482">
        <v>0.3</v>
      </c>
      <c r="L23" s="483">
        <f t="shared" ref="L23" si="3">SUM(D23:J23)</f>
        <v>0</v>
      </c>
      <c r="M23" s="484" t="s">
        <v>164</v>
      </c>
      <c r="N23" s="490">
        <f>K23*L23</f>
        <v>0</v>
      </c>
      <c r="O23" s="491" t="s">
        <v>164</v>
      </c>
      <c r="Q23" s="486">
        <v>6.3099000000000014E-5</v>
      </c>
      <c r="R23" s="487">
        <f>L23*Q23</f>
        <v>0</v>
      </c>
      <c r="S23" s="488"/>
    </row>
    <row r="24" spans="1:19">
      <c r="A24" s="478"/>
      <c r="B24" s="520" t="s">
        <v>273</v>
      </c>
      <c r="C24" s="523"/>
      <c r="D24" s="510"/>
      <c r="E24" s="510"/>
      <c r="F24" s="510"/>
      <c r="G24" s="510"/>
      <c r="H24" s="510"/>
      <c r="I24" s="510"/>
      <c r="J24" s="510"/>
      <c r="K24" s="511">
        <v>7.0000000000000007E-2</v>
      </c>
      <c r="L24" s="512">
        <f>SUM(D24:J24)</f>
        <v>0</v>
      </c>
      <c r="M24" s="513"/>
      <c r="N24" s="513"/>
      <c r="O24" s="514">
        <f>K24*L24</f>
        <v>0</v>
      </c>
      <c r="Q24" s="486"/>
      <c r="R24" s="487"/>
      <c r="S24" s="488"/>
    </row>
    <row r="25" spans="1:19">
      <c r="A25" s="478"/>
      <c r="B25" s="489" t="s">
        <v>274</v>
      </c>
      <c r="C25" s="524"/>
      <c r="D25" s="481"/>
      <c r="E25" s="481"/>
      <c r="F25" s="481"/>
      <c r="G25" s="481"/>
      <c r="H25" s="481"/>
      <c r="I25" s="481"/>
      <c r="J25" s="481"/>
      <c r="K25" s="482">
        <v>0.14000000000000001</v>
      </c>
      <c r="L25" s="483">
        <f>SUM(D25:J25)</f>
        <v>0</v>
      </c>
      <c r="M25" s="484"/>
      <c r="N25" s="484"/>
      <c r="O25" s="485">
        <f>K25*L25</f>
        <v>0</v>
      </c>
      <c r="Q25" s="486"/>
      <c r="R25" s="487"/>
      <c r="S25" s="488"/>
    </row>
    <row r="26" spans="1:19">
      <c r="A26" s="478"/>
      <c r="B26" s="489" t="s">
        <v>275</v>
      </c>
      <c r="C26" s="524"/>
      <c r="D26" s="481"/>
      <c r="E26" s="481"/>
      <c r="F26" s="481"/>
      <c r="G26" s="481"/>
      <c r="H26" s="481"/>
      <c r="I26" s="481"/>
      <c r="J26" s="481"/>
      <c r="K26" s="482">
        <v>0.21</v>
      </c>
      <c r="L26" s="483">
        <f>SUM(D26:J26)</f>
        <v>0</v>
      </c>
      <c r="M26" s="484"/>
      <c r="N26" s="484"/>
      <c r="O26" s="485">
        <f>K26*L26</f>
        <v>0</v>
      </c>
      <c r="Q26" s="486">
        <v>8.0620300000000002E-4</v>
      </c>
      <c r="R26" s="487"/>
      <c r="S26" s="488">
        <f>L26*Q26</f>
        <v>0</v>
      </c>
    </row>
    <row r="27" spans="1:19">
      <c r="A27" s="478" t="s">
        <v>189</v>
      </c>
      <c r="B27" s="493" t="s">
        <v>276</v>
      </c>
      <c r="C27" s="525"/>
      <c r="D27" s="495"/>
      <c r="E27" s="495"/>
      <c r="F27" s="495"/>
      <c r="G27" s="495"/>
      <c r="H27" s="495"/>
      <c r="I27" s="495"/>
      <c r="J27" s="495"/>
      <c r="K27" s="496">
        <v>0.2</v>
      </c>
      <c r="L27" s="497">
        <f>SUM(D27:J27)</f>
        <v>0</v>
      </c>
      <c r="M27" s="498" t="s">
        <v>164</v>
      </c>
      <c r="N27" s="498" t="s">
        <v>164</v>
      </c>
      <c r="O27" s="516">
        <f>K27*L27</f>
        <v>0</v>
      </c>
      <c r="Q27" s="486"/>
      <c r="R27" s="487"/>
      <c r="S27" s="488"/>
    </row>
    <row r="28" spans="1:19">
      <c r="A28" s="478"/>
      <c r="B28" s="526"/>
      <c r="C28" s="527"/>
      <c r="D28" s="503"/>
      <c r="E28" s="503"/>
      <c r="F28" s="503"/>
      <c r="G28" s="503"/>
      <c r="H28" s="503"/>
      <c r="I28" s="503"/>
      <c r="J28" s="503"/>
      <c r="K28" s="504"/>
      <c r="L28" s="505" t="s">
        <v>164</v>
      </c>
      <c r="M28" s="506"/>
      <c r="N28" s="506"/>
      <c r="O28" s="507"/>
      <c r="Q28" s="486"/>
      <c r="R28" s="487"/>
      <c r="S28" s="488"/>
    </row>
    <row r="29" spans="1:19">
      <c r="A29" s="478" t="s">
        <v>189</v>
      </c>
      <c r="B29" s="520" t="s">
        <v>277</v>
      </c>
      <c r="C29" s="523"/>
      <c r="D29" s="510"/>
      <c r="E29" s="510"/>
      <c r="F29" s="510"/>
      <c r="G29" s="510"/>
      <c r="H29" s="510"/>
      <c r="I29" s="510"/>
      <c r="J29" s="510"/>
      <c r="K29" s="511">
        <v>0.32</v>
      </c>
      <c r="L29" s="512">
        <f>SUM(D29:J29)</f>
        <v>0</v>
      </c>
      <c r="M29" s="513" t="s">
        <v>164</v>
      </c>
      <c r="N29" s="513" t="s">
        <v>164</v>
      </c>
      <c r="O29" s="514">
        <f>K29*L29</f>
        <v>0</v>
      </c>
      <c r="Q29" s="486"/>
      <c r="R29" s="487"/>
      <c r="S29" s="488"/>
    </row>
    <row r="30" spans="1:19">
      <c r="A30" s="478" t="s">
        <v>189</v>
      </c>
      <c r="B30" s="489" t="s">
        <v>278</v>
      </c>
      <c r="C30" s="524"/>
      <c r="D30" s="481"/>
      <c r="E30" s="481"/>
      <c r="F30" s="481"/>
      <c r="G30" s="481"/>
      <c r="H30" s="481"/>
      <c r="I30" s="481"/>
      <c r="J30" s="481"/>
      <c r="K30" s="482">
        <v>0.95</v>
      </c>
      <c r="L30" s="483">
        <f>SUM(D30:J30)</f>
        <v>0</v>
      </c>
      <c r="M30" s="484" t="s">
        <v>164</v>
      </c>
      <c r="N30" s="484" t="s">
        <v>164</v>
      </c>
      <c r="O30" s="485">
        <f>K30*L30</f>
        <v>0</v>
      </c>
      <c r="Q30" s="486"/>
      <c r="R30" s="487"/>
      <c r="S30" s="488"/>
    </row>
    <row r="31" spans="1:19">
      <c r="A31" s="478"/>
      <c r="B31" s="489" t="s">
        <v>279</v>
      </c>
      <c r="C31" s="524"/>
      <c r="D31" s="481"/>
      <c r="E31" s="481"/>
      <c r="F31" s="481"/>
      <c r="G31" s="481"/>
      <c r="H31" s="481"/>
      <c r="I31" s="481"/>
      <c r="J31" s="481"/>
      <c r="K31" s="482">
        <v>0.09</v>
      </c>
      <c r="L31" s="483">
        <f>SUM(D31:J31)</f>
        <v>0</v>
      </c>
      <c r="M31" s="484"/>
      <c r="N31" s="484"/>
      <c r="O31" s="485">
        <f>K31*L31</f>
        <v>0</v>
      </c>
      <c r="Q31" s="486"/>
      <c r="R31" s="487"/>
      <c r="S31" s="488"/>
    </row>
    <row r="32" spans="1:19">
      <c r="A32" s="528" t="s">
        <v>189</v>
      </c>
      <c r="B32" s="529"/>
      <c r="C32" s="530"/>
      <c r="D32" s="531"/>
      <c r="E32" s="531"/>
      <c r="F32" s="531"/>
      <c r="G32" s="531"/>
      <c r="H32" s="531"/>
      <c r="I32" s="531"/>
      <c r="J32" s="531"/>
      <c r="K32" s="532"/>
      <c r="L32" s="533">
        <f>SUM(D32:J32)</f>
        <v>0</v>
      </c>
      <c r="M32" s="534" t="s">
        <v>164</v>
      </c>
      <c r="N32" s="534" t="s">
        <v>164</v>
      </c>
      <c r="O32" s="535">
        <f>K32*L32</f>
        <v>0</v>
      </c>
      <c r="Q32" s="486"/>
      <c r="R32" s="487"/>
      <c r="S32" s="488"/>
    </row>
    <row r="33" spans="1:19">
      <c r="A33" s="536"/>
      <c r="B33" s="537"/>
      <c r="C33" s="538"/>
      <c r="D33" s="539"/>
      <c r="E33" s="539"/>
      <c r="F33" s="539"/>
      <c r="G33" s="539"/>
      <c r="H33" s="539"/>
      <c r="I33" s="539"/>
      <c r="J33" s="539"/>
      <c r="K33" s="540"/>
      <c r="L33" s="243"/>
      <c r="M33" s="541"/>
      <c r="N33" s="541"/>
      <c r="O33" s="542"/>
      <c r="Q33" s="543"/>
      <c r="R33" s="544"/>
      <c r="S33" s="545"/>
    </row>
    <row r="34" spans="1:19" ht="19.5" thickBot="1">
      <c r="A34" s="546"/>
      <c r="B34" s="547" t="s">
        <v>205</v>
      </c>
      <c r="C34" s="304"/>
      <c r="D34" s="548"/>
      <c r="E34" s="548"/>
      <c r="F34" s="548"/>
      <c r="G34" s="548"/>
      <c r="H34" s="548"/>
      <c r="I34" s="548"/>
      <c r="J34" s="548"/>
      <c r="K34" s="549"/>
      <c r="L34" s="550"/>
      <c r="M34" s="551">
        <f>SUM(M4:M33)</f>
        <v>0</v>
      </c>
      <c r="N34" s="551">
        <f>SUM(N4:N33)</f>
        <v>0</v>
      </c>
      <c r="O34" s="307">
        <f>SUM(O4:O33)</f>
        <v>0</v>
      </c>
      <c r="Q34" s="552" t="s">
        <v>26</v>
      </c>
      <c r="R34" s="553">
        <f>SUM(R4:R33)</f>
        <v>0</v>
      </c>
      <c r="S34" s="554">
        <f>SUM(S4:S33)</f>
        <v>0</v>
      </c>
    </row>
    <row r="35" spans="1:19" s="457" customFormat="1">
      <c r="Q35" s="459"/>
      <c r="R35" s="459"/>
      <c r="S35" s="459"/>
    </row>
    <row r="36" spans="1:19" s="457" customFormat="1">
      <c r="Q36" s="459"/>
      <c r="R36" s="60"/>
      <c r="S36" s="60"/>
    </row>
    <row r="37" spans="1:19" s="457" customFormat="1">
      <c r="Q37" s="459"/>
      <c r="R37" s="60"/>
      <c r="S37" s="60"/>
    </row>
    <row r="38" spans="1:19" s="457" customFormat="1">
      <c r="Q38" s="459"/>
      <c r="R38" s="459"/>
      <c r="S38" s="459"/>
    </row>
    <row r="39" spans="1:19" s="457" customFormat="1">
      <c r="Q39" s="459"/>
      <c r="R39" s="459"/>
      <c r="S39" s="459"/>
    </row>
    <row r="40" spans="1:19" s="457" customFormat="1">
      <c r="Q40" s="459"/>
      <c r="R40" s="459"/>
      <c r="S40" s="459"/>
    </row>
    <row r="41" spans="1:19" s="457" customFormat="1">
      <c r="Q41" s="459"/>
      <c r="R41" s="459"/>
      <c r="S41" s="459"/>
    </row>
    <row r="42" spans="1:19" s="457" customFormat="1">
      <c r="Q42" s="459"/>
      <c r="R42" s="459"/>
      <c r="S42" s="459"/>
    </row>
    <row r="43" spans="1:19" s="457" customFormat="1">
      <c r="Q43" s="459"/>
      <c r="R43" s="459"/>
      <c r="S43" s="459"/>
    </row>
    <row r="44" spans="1:19" s="457" customFormat="1">
      <c r="Q44" s="459"/>
      <c r="R44" s="459"/>
      <c r="S44" s="459"/>
    </row>
    <row r="45" spans="1:19" s="457" customFormat="1">
      <c r="Q45" s="459"/>
      <c r="R45" s="459"/>
      <c r="S45" s="459"/>
    </row>
    <row r="46" spans="1:19" s="457" customFormat="1">
      <c r="Q46" s="459"/>
      <c r="R46" s="459"/>
      <c r="S46" s="459"/>
    </row>
    <row r="47" spans="1:19" s="457" customFormat="1">
      <c r="Q47" s="459"/>
      <c r="R47" s="459"/>
      <c r="S47" s="459"/>
    </row>
    <row r="48" spans="1:19" s="457" customFormat="1">
      <c r="Q48" s="459"/>
      <c r="R48" s="459"/>
      <c r="S48" s="459"/>
    </row>
    <row r="49" spans="17:19" s="457" customFormat="1">
      <c r="Q49" s="459"/>
      <c r="R49" s="459"/>
      <c r="S49" s="459"/>
    </row>
    <row r="50" spans="17:19" s="457" customFormat="1">
      <c r="Q50" s="459"/>
      <c r="R50" s="459"/>
      <c r="S50" s="459"/>
    </row>
    <row r="51" spans="17:19" s="457" customFormat="1">
      <c r="Q51" s="459"/>
      <c r="R51" s="459"/>
      <c r="S51" s="459"/>
    </row>
    <row r="52" spans="17:19" s="457" customFormat="1">
      <c r="Q52" s="459"/>
      <c r="R52" s="459"/>
      <c r="S52" s="459"/>
    </row>
    <row r="53" spans="17:19" s="457" customFormat="1">
      <c r="Q53" s="459"/>
      <c r="R53" s="459"/>
      <c r="S53" s="459"/>
    </row>
    <row r="54" spans="17:19" s="457" customFormat="1">
      <c r="Q54" s="459"/>
      <c r="R54" s="459"/>
      <c r="S54" s="459"/>
    </row>
    <row r="55" spans="17:19" s="457" customFormat="1">
      <c r="Q55" s="459"/>
      <c r="R55" s="459"/>
      <c r="S55" s="459"/>
    </row>
    <row r="56" spans="17:19" s="457" customFormat="1">
      <c r="Q56" s="459"/>
      <c r="R56" s="459"/>
      <c r="S56" s="459"/>
    </row>
    <row r="57" spans="17:19" s="457" customFormat="1">
      <c r="Q57" s="459"/>
      <c r="R57" s="459"/>
      <c r="S57" s="459"/>
    </row>
    <row r="58" spans="17:19" s="457" customFormat="1">
      <c r="Q58" s="459"/>
      <c r="R58" s="459"/>
      <c r="S58" s="459"/>
    </row>
    <row r="59" spans="17:19" s="457" customFormat="1">
      <c r="Q59" s="459"/>
      <c r="R59" s="459"/>
      <c r="S59" s="459"/>
    </row>
    <row r="60" spans="17:19" s="457" customFormat="1">
      <c r="Q60" s="459"/>
      <c r="R60" s="459"/>
      <c r="S60" s="459"/>
    </row>
    <row r="61" spans="17:19" s="457" customFormat="1">
      <c r="Q61" s="459"/>
      <c r="R61" s="459"/>
      <c r="S61" s="459"/>
    </row>
    <row r="62" spans="17:19" s="457" customFormat="1">
      <c r="Q62" s="459"/>
      <c r="R62" s="459"/>
      <c r="S62" s="459"/>
    </row>
    <row r="63" spans="17:19" s="457" customFormat="1">
      <c r="Q63" s="459"/>
      <c r="R63" s="459"/>
      <c r="S63" s="459"/>
    </row>
    <row r="64" spans="17:19" s="457" customFormat="1">
      <c r="Q64" s="459"/>
      <c r="R64" s="459"/>
      <c r="S64" s="459"/>
    </row>
    <row r="65" spans="17:19" s="457" customFormat="1">
      <c r="Q65" s="459"/>
      <c r="R65" s="459"/>
      <c r="S65" s="459"/>
    </row>
    <row r="66" spans="17:19" s="457" customFormat="1">
      <c r="Q66" s="459"/>
      <c r="R66" s="459"/>
      <c r="S66" s="459"/>
    </row>
    <row r="67" spans="17:19" s="457" customFormat="1">
      <c r="Q67" s="459"/>
      <c r="R67" s="459"/>
      <c r="S67" s="459"/>
    </row>
    <row r="68" spans="17:19" s="457" customFormat="1">
      <c r="Q68" s="459"/>
      <c r="R68" s="459"/>
      <c r="S68" s="459"/>
    </row>
    <row r="69" spans="17:19" s="457" customFormat="1">
      <c r="Q69" s="459"/>
      <c r="R69" s="459"/>
      <c r="S69" s="459"/>
    </row>
    <row r="70" spans="17:19" s="457" customFormat="1">
      <c r="Q70" s="459"/>
      <c r="R70" s="459"/>
      <c r="S70" s="459"/>
    </row>
    <row r="71" spans="17:19" s="457" customFormat="1">
      <c r="Q71" s="459"/>
      <c r="R71" s="459"/>
      <c r="S71" s="459"/>
    </row>
    <row r="72" spans="17:19" s="457" customFormat="1">
      <c r="Q72" s="459"/>
      <c r="R72" s="459"/>
      <c r="S72" s="459"/>
    </row>
    <row r="73" spans="17:19" s="457" customFormat="1">
      <c r="Q73" s="459"/>
      <c r="R73" s="459"/>
      <c r="S73" s="459"/>
    </row>
    <row r="74" spans="17:19" s="457" customFormat="1">
      <c r="Q74" s="459"/>
      <c r="R74" s="459"/>
      <c r="S74" s="459"/>
    </row>
    <row r="75" spans="17:19" s="457" customFormat="1">
      <c r="Q75" s="459"/>
      <c r="R75" s="459"/>
      <c r="S75" s="459"/>
    </row>
    <row r="76" spans="17:19" s="457" customFormat="1">
      <c r="Q76" s="459"/>
      <c r="R76" s="459"/>
      <c r="S76" s="459"/>
    </row>
    <row r="77" spans="17:19" s="457" customFormat="1">
      <c r="Q77" s="459"/>
      <c r="R77" s="459"/>
      <c r="S77" s="459"/>
    </row>
    <row r="78" spans="17:19" s="457" customFormat="1">
      <c r="Q78" s="459"/>
      <c r="R78" s="459"/>
      <c r="S78" s="459"/>
    </row>
    <row r="79" spans="17:19" s="457" customFormat="1">
      <c r="Q79" s="459"/>
      <c r="R79" s="459"/>
      <c r="S79" s="459"/>
    </row>
    <row r="80" spans="17:19" s="457" customFormat="1">
      <c r="Q80" s="459"/>
      <c r="R80" s="459"/>
      <c r="S80" s="459"/>
    </row>
    <row r="81" spans="17:19" s="457" customFormat="1">
      <c r="Q81" s="459"/>
      <c r="R81" s="459"/>
      <c r="S81" s="459"/>
    </row>
    <row r="82" spans="17:19" s="457" customFormat="1">
      <c r="Q82" s="459"/>
      <c r="R82" s="459"/>
      <c r="S82" s="459"/>
    </row>
    <row r="83" spans="17:19" s="457" customFormat="1">
      <c r="Q83" s="459"/>
      <c r="R83" s="459"/>
      <c r="S83" s="459"/>
    </row>
    <row r="84" spans="17:19" s="457" customFormat="1">
      <c r="Q84" s="459"/>
      <c r="R84" s="459"/>
      <c r="S84" s="459"/>
    </row>
    <row r="85" spans="17:19" s="457" customFormat="1">
      <c r="Q85" s="459"/>
      <c r="R85" s="459"/>
      <c r="S85" s="459"/>
    </row>
    <row r="86" spans="17:19" s="457" customFormat="1">
      <c r="Q86" s="459"/>
      <c r="R86" s="459"/>
      <c r="S86" s="459"/>
    </row>
    <row r="87" spans="17:19" s="457" customFormat="1">
      <c r="Q87" s="459"/>
      <c r="R87" s="459"/>
      <c r="S87" s="459"/>
    </row>
    <row r="88" spans="17:19" s="457" customFormat="1">
      <c r="Q88" s="459"/>
      <c r="R88" s="459"/>
      <c r="S88" s="459"/>
    </row>
    <row r="89" spans="17:19" s="457" customFormat="1">
      <c r="Q89" s="459"/>
      <c r="R89" s="459"/>
      <c r="S89" s="459"/>
    </row>
    <row r="90" spans="17:19" s="457" customFormat="1">
      <c r="Q90" s="459"/>
      <c r="R90" s="459"/>
      <c r="S90" s="459"/>
    </row>
    <row r="91" spans="17:19" s="457" customFormat="1">
      <c r="Q91" s="459"/>
      <c r="R91" s="459"/>
      <c r="S91" s="459"/>
    </row>
    <row r="92" spans="17:19" s="457" customFormat="1">
      <c r="Q92" s="459"/>
      <c r="R92" s="459"/>
      <c r="S92" s="459"/>
    </row>
    <row r="93" spans="17:19" s="457" customFormat="1">
      <c r="Q93" s="459"/>
      <c r="R93" s="459"/>
      <c r="S93" s="459"/>
    </row>
    <row r="94" spans="17:19" s="457" customFormat="1">
      <c r="Q94" s="459"/>
      <c r="R94" s="459"/>
      <c r="S94" s="459"/>
    </row>
    <row r="95" spans="17:19" s="457" customFormat="1">
      <c r="Q95" s="459"/>
      <c r="R95" s="459"/>
      <c r="S95" s="459"/>
    </row>
    <row r="96" spans="17:19" s="457" customFormat="1">
      <c r="Q96" s="459"/>
      <c r="R96" s="459"/>
      <c r="S96" s="459"/>
    </row>
    <row r="97" spans="17:19" s="457" customFormat="1">
      <c r="Q97" s="459"/>
      <c r="R97" s="459"/>
      <c r="S97" s="459"/>
    </row>
    <row r="98" spans="17:19" s="457" customFormat="1">
      <c r="Q98" s="459"/>
      <c r="R98" s="459"/>
      <c r="S98" s="459"/>
    </row>
    <row r="99" spans="17:19" s="457" customFormat="1">
      <c r="Q99" s="459"/>
      <c r="R99" s="459"/>
      <c r="S99" s="459"/>
    </row>
    <row r="100" spans="17:19" s="457" customFormat="1">
      <c r="Q100" s="459"/>
      <c r="R100" s="459"/>
      <c r="S100" s="459"/>
    </row>
    <row r="101" spans="17:19" s="457" customFormat="1">
      <c r="Q101" s="459"/>
      <c r="R101" s="459"/>
      <c r="S101" s="459"/>
    </row>
    <row r="102" spans="17:19" s="457" customFormat="1">
      <c r="Q102" s="459"/>
      <c r="R102" s="459"/>
      <c r="S102" s="459"/>
    </row>
    <row r="103" spans="17:19" s="457" customFormat="1">
      <c r="Q103" s="459"/>
      <c r="R103" s="459"/>
      <c r="S103" s="459"/>
    </row>
    <row r="104" spans="17:19" s="457" customFormat="1">
      <c r="Q104" s="459"/>
      <c r="R104" s="459"/>
      <c r="S104" s="459"/>
    </row>
    <row r="105" spans="17:19" s="457" customFormat="1">
      <c r="Q105" s="459"/>
      <c r="R105" s="459"/>
      <c r="S105" s="459"/>
    </row>
    <row r="106" spans="17:19" s="457" customFormat="1">
      <c r="Q106" s="459"/>
      <c r="R106" s="459"/>
      <c r="S106" s="459"/>
    </row>
    <row r="107" spans="17:19" s="457" customFormat="1">
      <c r="Q107" s="459"/>
      <c r="R107" s="459"/>
      <c r="S107" s="459"/>
    </row>
    <row r="108" spans="17:19" s="457" customFormat="1">
      <c r="Q108" s="459"/>
      <c r="R108" s="459"/>
      <c r="S108" s="459"/>
    </row>
    <row r="109" spans="17:19" s="457" customFormat="1">
      <c r="Q109" s="459"/>
      <c r="R109" s="459"/>
      <c r="S109" s="459"/>
    </row>
    <row r="110" spans="17:19" s="457" customFormat="1">
      <c r="Q110" s="459"/>
      <c r="R110" s="459"/>
      <c r="S110" s="459"/>
    </row>
    <row r="111" spans="17:19" s="457" customFormat="1">
      <c r="Q111" s="459"/>
      <c r="R111" s="459"/>
      <c r="S111" s="459"/>
    </row>
    <row r="112" spans="17:19" s="457" customFormat="1">
      <c r="Q112" s="459"/>
      <c r="R112" s="459"/>
      <c r="S112" s="459"/>
    </row>
    <row r="113" spans="17:19" s="457" customFormat="1">
      <c r="Q113" s="459"/>
      <c r="R113" s="459"/>
      <c r="S113" s="459"/>
    </row>
    <row r="114" spans="17:19" s="457" customFormat="1">
      <c r="Q114" s="459"/>
      <c r="R114" s="459"/>
      <c r="S114" s="459"/>
    </row>
    <row r="115" spans="17:19" s="457" customFormat="1">
      <c r="Q115" s="459"/>
      <c r="R115" s="459"/>
      <c r="S115" s="459"/>
    </row>
    <row r="116" spans="17:19" s="457" customFormat="1">
      <c r="Q116" s="459"/>
      <c r="R116" s="459"/>
      <c r="S116" s="459"/>
    </row>
    <row r="117" spans="17:19" s="457" customFormat="1">
      <c r="Q117" s="459"/>
      <c r="R117" s="459"/>
      <c r="S117" s="459"/>
    </row>
    <row r="118" spans="17:19" s="457" customFormat="1">
      <c r="Q118" s="459"/>
      <c r="R118" s="459"/>
      <c r="S118" s="459"/>
    </row>
    <row r="119" spans="17:19" s="457" customFormat="1">
      <c r="Q119" s="459"/>
      <c r="R119" s="459"/>
      <c r="S119" s="459"/>
    </row>
    <row r="120" spans="17:19" s="457" customFormat="1">
      <c r="Q120" s="459"/>
      <c r="R120" s="459"/>
      <c r="S120" s="459"/>
    </row>
    <row r="121" spans="17:19" s="457" customFormat="1">
      <c r="Q121" s="459"/>
      <c r="R121" s="459"/>
      <c r="S121" s="459"/>
    </row>
    <row r="122" spans="17:19" s="457" customFormat="1">
      <c r="Q122" s="459"/>
      <c r="R122" s="459"/>
      <c r="S122" s="459"/>
    </row>
    <row r="123" spans="17:19" s="457" customFormat="1">
      <c r="Q123" s="459"/>
      <c r="R123" s="459"/>
      <c r="S123" s="459"/>
    </row>
    <row r="124" spans="17:19" s="457" customFormat="1">
      <c r="Q124" s="459"/>
      <c r="R124" s="459"/>
      <c r="S124" s="459"/>
    </row>
    <row r="125" spans="17:19" s="457" customFormat="1">
      <c r="Q125" s="459"/>
      <c r="R125" s="459"/>
      <c r="S125" s="459"/>
    </row>
    <row r="126" spans="17:19" s="457" customFormat="1">
      <c r="Q126" s="459"/>
      <c r="R126" s="459"/>
      <c r="S126" s="459"/>
    </row>
    <row r="127" spans="17:19" s="457" customFormat="1">
      <c r="Q127" s="459"/>
      <c r="R127" s="459"/>
      <c r="S127" s="459"/>
    </row>
    <row r="128" spans="17:19" s="457" customFormat="1">
      <c r="Q128" s="459"/>
      <c r="R128" s="459"/>
      <c r="S128" s="459"/>
    </row>
  </sheetData>
  <mergeCells count="5">
    <mergeCell ref="B2:B3"/>
    <mergeCell ref="C2:C3"/>
    <mergeCell ref="D2:J2"/>
    <mergeCell ref="K2:K3"/>
    <mergeCell ref="L2:L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/>
  <rowBreaks count="1" manualBreakCount="1">
    <brk id="34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DC41-CDF5-43F2-BBAA-1172A86E0324}">
  <dimension ref="B1:S142"/>
  <sheetViews>
    <sheetView view="pageBreakPreview" zoomScaleNormal="100" zoomScaleSheetLayoutView="100" workbookViewId="0">
      <selection activeCell="I19" sqref="I19"/>
    </sheetView>
  </sheetViews>
  <sheetFormatPr defaultRowHeight="13.5"/>
  <cols>
    <col min="1" max="1" width="2.625" style="57" customWidth="1"/>
    <col min="2" max="2" width="10.625" style="57" customWidth="1"/>
    <col min="3" max="3" width="8.75" style="57" customWidth="1"/>
    <col min="4" max="5" width="7.5" style="57" customWidth="1"/>
    <col min="6" max="9" width="6.875" style="57" customWidth="1"/>
    <col min="10" max="10" width="10.625" style="57" customWidth="1"/>
    <col min="11" max="11" width="9.125" style="57" customWidth="1"/>
    <col min="12" max="12" width="10.625" style="57" customWidth="1"/>
    <col min="13" max="13" width="7.5" style="57" customWidth="1"/>
    <col min="14" max="16" width="11.625" style="57" customWidth="1"/>
    <col min="17" max="17" width="9" style="57"/>
    <col min="18" max="19" width="12.625" style="60" customWidth="1"/>
    <col min="20" max="256" width="9" style="57"/>
    <col min="257" max="257" width="2.625" style="57" customWidth="1"/>
    <col min="258" max="258" width="10.625" style="57" customWidth="1"/>
    <col min="259" max="259" width="8.75" style="57" customWidth="1"/>
    <col min="260" max="261" width="7.5" style="57" customWidth="1"/>
    <col min="262" max="265" width="6.875" style="57" customWidth="1"/>
    <col min="266" max="266" width="10.625" style="57" customWidth="1"/>
    <col min="267" max="267" width="9.125" style="57" customWidth="1"/>
    <col min="268" max="268" width="10.625" style="57" customWidth="1"/>
    <col min="269" max="269" width="7.5" style="57" customWidth="1"/>
    <col min="270" max="272" width="11.625" style="57" customWidth="1"/>
    <col min="273" max="512" width="9" style="57"/>
    <col min="513" max="513" width="2.625" style="57" customWidth="1"/>
    <col min="514" max="514" width="10.625" style="57" customWidth="1"/>
    <col min="515" max="515" width="8.75" style="57" customWidth="1"/>
    <col min="516" max="517" width="7.5" style="57" customWidth="1"/>
    <col min="518" max="521" width="6.875" style="57" customWidth="1"/>
    <col min="522" max="522" width="10.625" style="57" customWidth="1"/>
    <col min="523" max="523" width="9.125" style="57" customWidth="1"/>
    <col min="524" max="524" width="10.625" style="57" customWidth="1"/>
    <col min="525" max="525" width="7.5" style="57" customWidth="1"/>
    <col min="526" max="528" width="11.625" style="57" customWidth="1"/>
    <col min="529" max="768" width="9" style="57"/>
    <col min="769" max="769" width="2.625" style="57" customWidth="1"/>
    <col min="770" max="770" width="10.625" style="57" customWidth="1"/>
    <col min="771" max="771" width="8.75" style="57" customWidth="1"/>
    <col min="772" max="773" width="7.5" style="57" customWidth="1"/>
    <col min="774" max="777" width="6.875" style="57" customWidth="1"/>
    <col min="778" max="778" width="10.625" style="57" customWidth="1"/>
    <col min="779" max="779" width="9.125" style="57" customWidth="1"/>
    <col min="780" max="780" width="10.625" style="57" customWidth="1"/>
    <col min="781" max="781" width="7.5" style="57" customWidth="1"/>
    <col min="782" max="784" width="11.625" style="57" customWidth="1"/>
    <col min="785" max="1024" width="9" style="57"/>
    <col min="1025" max="1025" width="2.625" style="57" customWidth="1"/>
    <col min="1026" max="1026" width="10.625" style="57" customWidth="1"/>
    <col min="1027" max="1027" width="8.75" style="57" customWidth="1"/>
    <col min="1028" max="1029" width="7.5" style="57" customWidth="1"/>
    <col min="1030" max="1033" width="6.875" style="57" customWidth="1"/>
    <col min="1034" max="1034" width="10.625" style="57" customWidth="1"/>
    <col min="1035" max="1035" width="9.125" style="57" customWidth="1"/>
    <col min="1036" max="1036" width="10.625" style="57" customWidth="1"/>
    <col min="1037" max="1037" width="7.5" style="57" customWidth="1"/>
    <col min="1038" max="1040" width="11.625" style="57" customWidth="1"/>
    <col min="1041" max="1280" width="9" style="57"/>
    <col min="1281" max="1281" width="2.625" style="57" customWidth="1"/>
    <col min="1282" max="1282" width="10.625" style="57" customWidth="1"/>
    <col min="1283" max="1283" width="8.75" style="57" customWidth="1"/>
    <col min="1284" max="1285" width="7.5" style="57" customWidth="1"/>
    <col min="1286" max="1289" width="6.875" style="57" customWidth="1"/>
    <col min="1290" max="1290" width="10.625" style="57" customWidth="1"/>
    <col min="1291" max="1291" width="9.125" style="57" customWidth="1"/>
    <col min="1292" max="1292" width="10.625" style="57" customWidth="1"/>
    <col min="1293" max="1293" width="7.5" style="57" customWidth="1"/>
    <col min="1294" max="1296" width="11.625" style="57" customWidth="1"/>
    <col min="1297" max="1536" width="9" style="57"/>
    <col min="1537" max="1537" width="2.625" style="57" customWidth="1"/>
    <col min="1538" max="1538" width="10.625" style="57" customWidth="1"/>
    <col min="1539" max="1539" width="8.75" style="57" customWidth="1"/>
    <col min="1540" max="1541" width="7.5" style="57" customWidth="1"/>
    <col min="1542" max="1545" width="6.875" style="57" customWidth="1"/>
    <col min="1546" max="1546" width="10.625" style="57" customWidth="1"/>
    <col min="1547" max="1547" width="9.125" style="57" customWidth="1"/>
    <col min="1548" max="1548" width="10.625" style="57" customWidth="1"/>
    <col min="1549" max="1549" width="7.5" style="57" customWidth="1"/>
    <col min="1550" max="1552" width="11.625" style="57" customWidth="1"/>
    <col min="1553" max="1792" width="9" style="57"/>
    <col min="1793" max="1793" width="2.625" style="57" customWidth="1"/>
    <col min="1794" max="1794" width="10.625" style="57" customWidth="1"/>
    <col min="1795" max="1795" width="8.75" style="57" customWidth="1"/>
    <col min="1796" max="1797" width="7.5" style="57" customWidth="1"/>
    <col min="1798" max="1801" width="6.875" style="57" customWidth="1"/>
    <col min="1802" max="1802" width="10.625" style="57" customWidth="1"/>
    <col min="1803" max="1803" width="9.125" style="57" customWidth="1"/>
    <col min="1804" max="1804" width="10.625" style="57" customWidth="1"/>
    <col min="1805" max="1805" width="7.5" style="57" customWidth="1"/>
    <col min="1806" max="1808" width="11.625" style="57" customWidth="1"/>
    <col min="1809" max="2048" width="9" style="57"/>
    <col min="2049" max="2049" width="2.625" style="57" customWidth="1"/>
    <col min="2050" max="2050" width="10.625" style="57" customWidth="1"/>
    <col min="2051" max="2051" width="8.75" style="57" customWidth="1"/>
    <col min="2052" max="2053" width="7.5" style="57" customWidth="1"/>
    <col min="2054" max="2057" width="6.875" style="57" customWidth="1"/>
    <col min="2058" max="2058" width="10.625" style="57" customWidth="1"/>
    <col min="2059" max="2059" width="9.125" style="57" customWidth="1"/>
    <col min="2060" max="2060" width="10.625" style="57" customWidth="1"/>
    <col min="2061" max="2061" width="7.5" style="57" customWidth="1"/>
    <col min="2062" max="2064" width="11.625" style="57" customWidth="1"/>
    <col min="2065" max="2304" width="9" style="57"/>
    <col min="2305" max="2305" width="2.625" style="57" customWidth="1"/>
    <col min="2306" max="2306" width="10.625" style="57" customWidth="1"/>
    <col min="2307" max="2307" width="8.75" style="57" customWidth="1"/>
    <col min="2308" max="2309" width="7.5" style="57" customWidth="1"/>
    <col min="2310" max="2313" width="6.875" style="57" customWidth="1"/>
    <col min="2314" max="2314" width="10.625" style="57" customWidth="1"/>
    <col min="2315" max="2315" width="9.125" style="57" customWidth="1"/>
    <col min="2316" max="2316" width="10.625" style="57" customWidth="1"/>
    <col min="2317" max="2317" width="7.5" style="57" customWidth="1"/>
    <col min="2318" max="2320" width="11.625" style="57" customWidth="1"/>
    <col min="2321" max="2560" width="9" style="57"/>
    <col min="2561" max="2561" width="2.625" style="57" customWidth="1"/>
    <col min="2562" max="2562" width="10.625" style="57" customWidth="1"/>
    <col min="2563" max="2563" width="8.75" style="57" customWidth="1"/>
    <col min="2564" max="2565" width="7.5" style="57" customWidth="1"/>
    <col min="2566" max="2569" width="6.875" style="57" customWidth="1"/>
    <col min="2570" max="2570" width="10.625" style="57" customWidth="1"/>
    <col min="2571" max="2571" width="9.125" style="57" customWidth="1"/>
    <col min="2572" max="2572" width="10.625" style="57" customWidth="1"/>
    <col min="2573" max="2573" width="7.5" style="57" customWidth="1"/>
    <col min="2574" max="2576" width="11.625" style="57" customWidth="1"/>
    <col min="2577" max="2816" width="9" style="57"/>
    <col min="2817" max="2817" width="2.625" style="57" customWidth="1"/>
    <col min="2818" max="2818" width="10.625" style="57" customWidth="1"/>
    <col min="2819" max="2819" width="8.75" style="57" customWidth="1"/>
    <col min="2820" max="2821" width="7.5" style="57" customWidth="1"/>
    <col min="2822" max="2825" width="6.875" style="57" customWidth="1"/>
    <col min="2826" max="2826" width="10.625" style="57" customWidth="1"/>
    <col min="2827" max="2827" width="9.125" style="57" customWidth="1"/>
    <col min="2828" max="2828" width="10.625" style="57" customWidth="1"/>
    <col min="2829" max="2829" width="7.5" style="57" customWidth="1"/>
    <col min="2830" max="2832" width="11.625" style="57" customWidth="1"/>
    <col min="2833" max="3072" width="9" style="57"/>
    <col min="3073" max="3073" width="2.625" style="57" customWidth="1"/>
    <col min="3074" max="3074" width="10.625" style="57" customWidth="1"/>
    <col min="3075" max="3075" width="8.75" style="57" customWidth="1"/>
    <col min="3076" max="3077" width="7.5" style="57" customWidth="1"/>
    <col min="3078" max="3081" width="6.875" style="57" customWidth="1"/>
    <col min="3082" max="3082" width="10.625" style="57" customWidth="1"/>
    <col min="3083" max="3083" width="9.125" style="57" customWidth="1"/>
    <col min="3084" max="3084" width="10.625" style="57" customWidth="1"/>
    <col min="3085" max="3085" width="7.5" style="57" customWidth="1"/>
    <col min="3086" max="3088" width="11.625" style="57" customWidth="1"/>
    <col min="3089" max="3328" width="9" style="57"/>
    <col min="3329" max="3329" width="2.625" style="57" customWidth="1"/>
    <col min="3330" max="3330" width="10.625" style="57" customWidth="1"/>
    <col min="3331" max="3331" width="8.75" style="57" customWidth="1"/>
    <col min="3332" max="3333" width="7.5" style="57" customWidth="1"/>
    <col min="3334" max="3337" width="6.875" style="57" customWidth="1"/>
    <col min="3338" max="3338" width="10.625" style="57" customWidth="1"/>
    <col min="3339" max="3339" width="9.125" style="57" customWidth="1"/>
    <col min="3340" max="3340" width="10.625" style="57" customWidth="1"/>
    <col min="3341" max="3341" width="7.5" style="57" customWidth="1"/>
    <col min="3342" max="3344" width="11.625" style="57" customWidth="1"/>
    <col min="3345" max="3584" width="9" style="57"/>
    <col min="3585" max="3585" width="2.625" style="57" customWidth="1"/>
    <col min="3586" max="3586" width="10.625" style="57" customWidth="1"/>
    <col min="3587" max="3587" width="8.75" style="57" customWidth="1"/>
    <col min="3588" max="3589" width="7.5" style="57" customWidth="1"/>
    <col min="3590" max="3593" width="6.875" style="57" customWidth="1"/>
    <col min="3594" max="3594" width="10.625" style="57" customWidth="1"/>
    <col min="3595" max="3595" width="9.125" style="57" customWidth="1"/>
    <col min="3596" max="3596" width="10.625" style="57" customWidth="1"/>
    <col min="3597" max="3597" width="7.5" style="57" customWidth="1"/>
    <col min="3598" max="3600" width="11.625" style="57" customWidth="1"/>
    <col min="3601" max="3840" width="9" style="57"/>
    <col min="3841" max="3841" width="2.625" style="57" customWidth="1"/>
    <col min="3842" max="3842" width="10.625" style="57" customWidth="1"/>
    <col min="3843" max="3843" width="8.75" style="57" customWidth="1"/>
    <col min="3844" max="3845" width="7.5" style="57" customWidth="1"/>
    <col min="3846" max="3849" width="6.875" style="57" customWidth="1"/>
    <col min="3850" max="3850" width="10.625" style="57" customWidth="1"/>
    <col min="3851" max="3851" width="9.125" style="57" customWidth="1"/>
    <col min="3852" max="3852" width="10.625" style="57" customWidth="1"/>
    <col min="3853" max="3853" width="7.5" style="57" customWidth="1"/>
    <col min="3854" max="3856" width="11.625" style="57" customWidth="1"/>
    <col min="3857" max="4096" width="9" style="57"/>
    <col min="4097" max="4097" width="2.625" style="57" customWidth="1"/>
    <col min="4098" max="4098" width="10.625" style="57" customWidth="1"/>
    <col min="4099" max="4099" width="8.75" style="57" customWidth="1"/>
    <col min="4100" max="4101" width="7.5" style="57" customWidth="1"/>
    <col min="4102" max="4105" width="6.875" style="57" customWidth="1"/>
    <col min="4106" max="4106" width="10.625" style="57" customWidth="1"/>
    <col min="4107" max="4107" width="9.125" style="57" customWidth="1"/>
    <col min="4108" max="4108" width="10.625" style="57" customWidth="1"/>
    <col min="4109" max="4109" width="7.5" style="57" customWidth="1"/>
    <col min="4110" max="4112" width="11.625" style="57" customWidth="1"/>
    <col min="4113" max="4352" width="9" style="57"/>
    <col min="4353" max="4353" width="2.625" style="57" customWidth="1"/>
    <col min="4354" max="4354" width="10.625" style="57" customWidth="1"/>
    <col min="4355" max="4355" width="8.75" style="57" customWidth="1"/>
    <col min="4356" max="4357" width="7.5" style="57" customWidth="1"/>
    <col min="4358" max="4361" width="6.875" style="57" customWidth="1"/>
    <col min="4362" max="4362" width="10.625" style="57" customWidth="1"/>
    <col min="4363" max="4363" width="9.125" style="57" customWidth="1"/>
    <col min="4364" max="4364" width="10.625" style="57" customWidth="1"/>
    <col min="4365" max="4365" width="7.5" style="57" customWidth="1"/>
    <col min="4366" max="4368" width="11.625" style="57" customWidth="1"/>
    <col min="4369" max="4608" width="9" style="57"/>
    <col min="4609" max="4609" width="2.625" style="57" customWidth="1"/>
    <col min="4610" max="4610" width="10.625" style="57" customWidth="1"/>
    <col min="4611" max="4611" width="8.75" style="57" customWidth="1"/>
    <col min="4612" max="4613" width="7.5" style="57" customWidth="1"/>
    <col min="4614" max="4617" width="6.875" style="57" customWidth="1"/>
    <col min="4618" max="4618" width="10.625" style="57" customWidth="1"/>
    <col min="4619" max="4619" width="9.125" style="57" customWidth="1"/>
    <col min="4620" max="4620" width="10.625" style="57" customWidth="1"/>
    <col min="4621" max="4621" width="7.5" style="57" customWidth="1"/>
    <col min="4622" max="4624" width="11.625" style="57" customWidth="1"/>
    <col min="4625" max="4864" width="9" style="57"/>
    <col min="4865" max="4865" width="2.625" style="57" customWidth="1"/>
    <col min="4866" max="4866" width="10.625" style="57" customWidth="1"/>
    <col min="4867" max="4867" width="8.75" style="57" customWidth="1"/>
    <col min="4868" max="4869" width="7.5" style="57" customWidth="1"/>
    <col min="4870" max="4873" width="6.875" style="57" customWidth="1"/>
    <col min="4874" max="4874" width="10.625" style="57" customWidth="1"/>
    <col min="4875" max="4875" width="9.125" style="57" customWidth="1"/>
    <col min="4876" max="4876" width="10.625" style="57" customWidth="1"/>
    <col min="4877" max="4877" width="7.5" style="57" customWidth="1"/>
    <col min="4878" max="4880" width="11.625" style="57" customWidth="1"/>
    <col min="4881" max="5120" width="9" style="57"/>
    <col min="5121" max="5121" width="2.625" style="57" customWidth="1"/>
    <col min="5122" max="5122" width="10.625" style="57" customWidth="1"/>
    <col min="5123" max="5123" width="8.75" style="57" customWidth="1"/>
    <col min="5124" max="5125" width="7.5" style="57" customWidth="1"/>
    <col min="5126" max="5129" width="6.875" style="57" customWidth="1"/>
    <col min="5130" max="5130" width="10.625" style="57" customWidth="1"/>
    <col min="5131" max="5131" width="9.125" style="57" customWidth="1"/>
    <col min="5132" max="5132" width="10.625" style="57" customWidth="1"/>
    <col min="5133" max="5133" width="7.5" style="57" customWidth="1"/>
    <col min="5134" max="5136" width="11.625" style="57" customWidth="1"/>
    <col min="5137" max="5376" width="9" style="57"/>
    <col min="5377" max="5377" width="2.625" style="57" customWidth="1"/>
    <col min="5378" max="5378" width="10.625" style="57" customWidth="1"/>
    <col min="5379" max="5379" width="8.75" style="57" customWidth="1"/>
    <col min="5380" max="5381" width="7.5" style="57" customWidth="1"/>
    <col min="5382" max="5385" width="6.875" style="57" customWidth="1"/>
    <col min="5386" max="5386" width="10.625" style="57" customWidth="1"/>
    <col min="5387" max="5387" width="9.125" style="57" customWidth="1"/>
    <col min="5388" max="5388" width="10.625" style="57" customWidth="1"/>
    <col min="5389" max="5389" width="7.5" style="57" customWidth="1"/>
    <col min="5390" max="5392" width="11.625" style="57" customWidth="1"/>
    <col min="5393" max="5632" width="9" style="57"/>
    <col min="5633" max="5633" width="2.625" style="57" customWidth="1"/>
    <col min="5634" max="5634" width="10.625" style="57" customWidth="1"/>
    <col min="5635" max="5635" width="8.75" style="57" customWidth="1"/>
    <col min="5636" max="5637" width="7.5" style="57" customWidth="1"/>
    <col min="5638" max="5641" width="6.875" style="57" customWidth="1"/>
    <col min="5642" max="5642" width="10.625" style="57" customWidth="1"/>
    <col min="5643" max="5643" width="9.125" style="57" customWidth="1"/>
    <col min="5644" max="5644" width="10.625" style="57" customWidth="1"/>
    <col min="5645" max="5645" width="7.5" style="57" customWidth="1"/>
    <col min="5646" max="5648" width="11.625" style="57" customWidth="1"/>
    <col min="5649" max="5888" width="9" style="57"/>
    <col min="5889" max="5889" width="2.625" style="57" customWidth="1"/>
    <col min="5890" max="5890" width="10.625" style="57" customWidth="1"/>
    <col min="5891" max="5891" width="8.75" style="57" customWidth="1"/>
    <col min="5892" max="5893" width="7.5" style="57" customWidth="1"/>
    <col min="5894" max="5897" width="6.875" style="57" customWidth="1"/>
    <col min="5898" max="5898" width="10.625" style="57" customWidth="1"/>
    <col min="5899" max="5899" width="9.125" style="57" customWidth="1"/>
    <col min="5900" max="5900" width="10.625" style="57" customWidth="1"/>
    <col min="5901" max="5901" width="7.5" style="57" customWidth="1"/>
    <col min="5902" max="5904" width="11.625" style="57" customWidth="1"/>
    <col min="5905" max="6144" width="9" style="57"/>
    <col min="6145" max="6145" width="2.625" style="57" customWidth="1"/>
    <col min="6146" max="6146" width="10.625" style="57" customWidth="1"/>
    <col min="6147" max="6147" width="8.75" style="57" customWidth="1"/>
    <col min="6148" max="6149" width="7.5" style="57" customWidth="1"/>
    <col min="6150" max="6153" width="6.875" style="57" customWidth="1"/>
    <col min="6154" max="6154" width="10.625" style="57" customWidth="1"/>
    <col min="6155" max="6155" width="9.125" style="57" customWidth="1"/>
    <col min="6156" max="6156" width="10.625" style="57" customWidth="1"/>
    <col min="6157" max="6157" width="7.5" style="57" customWidth="1"/>
    <col min="6158" max="6160" width="11.625" style="57" customWidth="1"/>
    <col min="6161" max="6400" width="9" style="57"/>
    <col min="6401" max="6401" width="2.625" style="57" customWidth="1"/>
    <col min="6402" max="6402" width="10.625" style="57" customWidth="1"/>
    <col min="6403" max="6403" width="8.75" style="57" customWidth="1"/>
    <col min="6404" max="6405" width="7.5" style="57" customWidth="1"/>
    <col min="6406" max="6409" width="6.875" style="57" customWidth="1"/>
    <col min="6410" max="6410" width="10.625" style="57" customWidth="1"/>
    <col min="6411" max="6411" width="9.125" style="57" customWidth="1"/>
    <col min="6412" max="6412" width="10.625" style="57" customWidth="1"/>
    <col min="6413" max="6413" width="7.5" style="57" customWidth="1"/>
    <col min="6414" max="6416" width="11.625" style="57" customWidth="1"/>
    <col min="6417" max="6656" width="9" style="57"/>
    <col min="6657" max="6657" width="2.625" style="57" customWidth="1"/>
    <col min="6658" max="6658" width="10.625" style="57" customWidth="1"/>
    <col min="6659" max="6659" width="8.75" style="57" customWidth="1"/>
    <col min="6660" max="6661" width="7.5" style="57" customWidth="1"/>
    <col min="6662" max="6665" width="6.875" style="57" customWidth="1"/>
    <col min="6666" max="6666" width="10.625" style="57" customWidth="1"/>
    <col min="6667" max="6667" width="9.125" style="57" customWidth="1"/>
    <col min="6668" max="6668" width="10.625" style="57" customWidth="1"/>
    <col min="6669" max="6669" width="7.5" style="57" customWidth="1"/>
    <col min="6670" max="6672" width="11.625" style="57" customWidth="1"/>
    <col min="6673" max="6912" width="9" style="57"/>
    <col min="6913" max="6913" width="2.625" style="57" customWidth="1"/>
    <col min="6914" max="6914" width="10.625" style="57" customWidth="1"/>
    <col min="6915" max="6915" width="8.75" style="57" customWidth="1"/>
    <col min="6916" max="6917" width="7.5" style="57" customWidth="1"/>
    <col min="6918" max="6921" width="6.875" style="57" customWidth="1"/>
    <col min="6922" max="6922" width="10.625" style="57" customWidth="1"/>
    <col min="6923" max="6923" width="9.125" style="57" customWidth="1"/>
    <col min="6924" max="6924" width="10.625" style="57" customWidth="1"/>
    <col min="6925" max="6925" width="7.5" style="57" customWidth="1"/>
    <col min="6926" max="6928" width="11.625" style="57" customWidth="1"/>
    <col min="6929" max="7168" width="9" style="57"/>
    <col min="7169" max="7169" width="2.625" style="57" customWidth="1"/>
    <col min="7170" max="7170" width="10.625" style="57" customWidth="1"/>
    <col min="7171" max="7171" width="8.75" style="57" customWidth="1"/>
    <col min="7172" max="7173" width="7.5" style="57" customWidth="1"/>
    <col min="7174" max="7177" width="6.875" style="57" customWidth="1"/>
    <col min="7178" max="7178" width="10.625" style="57" customWidth="1"/>
    <col min="7179" max="7179" width="9.125" style="57" customWidth="1"/>
    <col min="7180" max="7180" width="10.625" style="57" customWidth="1"/>
    <col min="7181" max="7181" width="7.5" style="57" customWidth="1"/>
    <col min="7182" max="7184" width="11.625" style="57" customWidth="1"/>
    <col min="7185" max="7424" width="9" style="57"/>
    <col min="7425" max="7425" width="2.625" style="57" customWidth="1"/>
    <col min="7426" max="7426" width="10.625" style="57" customWidth="1"/>
    <col min="7427" max="7427" width="8.75" style="57" customWidth="1"/>
    <col min="7428" max="7429" width="7.5" style="57" customWidth="1"/>
    <col min="7430" max="7433" width="6.875" style="57" customWidth="1"/>
    <col min="7434" max="7434" width="10.625" style="57" customWidth="1"/>
    <col min="7435" max="7435" width="9.125" style="57" customWidth="1"/>
    <col min="7436" max="7436" width="10.625" style="57" customWidth="1"/>
    <col min="7437" max="7437" width="7.5" style="57" customWidth="1"/>
    <col min="7438" max="7440" width="11.625" style="57" customWidth="1"/>
    <col min="7441" max="7680" width="9" style="57"/>
    <col min="7681" max="7681" width="2.625" style="57" customWidth="1"/>
    <col min="7682" max="7682" width="10.625" style="57" customWidth="1"/>
    <col min="7683" max="7683" width="8.75" style="57" customWidth="1"/>
    <col min="7684" max="7685" width="7.5" style="57" customWidth="1"/>
    <col min="7686" max="7689" width="6.875" style="57" customWidth="1"/>
    <col min="7690" max="7690" width="10.625" style="57" customWidth="1"/>
    <col min="7691" max="7691" width="9.125" style="57" customWidth="1"/>
    <col min="7692" max="7692" width="10.625" style="57" customWidth="1"/>
    <col min="7693" max="7693" width="7.5" style="57" customWidth="1"/>
    <col min="7694" max="7696" width="11.625" style="57" customWidth="1"/>
    <col min="7697" max="7936" width="9" style="57"/>
    <col min="7937" max="7937" width="2.625" style="57" customWidth="1"/>
    <col min="7938" max="7938" width="10.625" style="57" customWidth="1"/>
    <col min="7939" max="7939" width="8.75" style="57" customWidth="1"/>
    <col min="7940" max="7941" width="7.5" style="57" customWidth="1"/>
    <col min="7942" max="7945" width="6.875" style="57" customWidth="1"/>
    <col min="7946" max="7946" width="10.625" style="57" customWidth="1"/>
    <col min="7947" max="7947" width="9.125" style="57" customWidth="1"/>
    <col min="7948" max="7948" width="10.625" style="57" customWidth="1"/>
    <col min="7949" max="7949" width="7.5" style="57" customWidth="1"/>
    <col min="7950" max="7952" width="11.625" style="57" customWidth="1"/>
    <col min="7953" max="8192" width="9" style="57"/>
    <col min="8193" max="8193" width="2.625" style="57" customWidth="1"/>
    <col min="8194" max="8194" width="10.625" style="57" customWidth="1"/>
    <col min="8195" max="8195" width="8.75" style="57" customWidth="1"/>
    <col min="8196" max="8197" width="7.5" style="57" customWidth="1"/>
    <col min="8198" max="8201" width="6.875" style="57" customWidth="1"/>
    <col min="8202" max="8202" width="10.625" style="57" customWidth="1"/>
    <col min="8203" max="8203" width="9.125" style="57" customWidth="1"/>
    <col min="8204" max="8204" width="10.625" style="57" customWidth="1"/>
    <col min="8205" max="8205" width="7.5" style="57" customWidth="1"/>
    <col min="8206" max="8208" width="11.625" style="57" customWidth="1"/>
    <col min="8209" max="8448" width="9" style="57"/>
    <col min="8449" max="8449" width="2.625" style="57" customWidth="1"/>
    <col min="8450" max="8450" width="10.625" style="57" customWidth="1"/>
    <col min="8451" max="8451" width="8.75" style="57" customWidth="1"/>
    <col min="8452" max="8453" width="7.5" style="57" customWidth="1"/>
    <col min="8454" max="8457" width="6.875" style="57" customWidth="1"/>
    <col min="8458" max="8458" width="10.625" style="57" customWidth="1"/>
    <col min="8459" max="8459" width="9.125" style="57" customWidth="1"/>
    <col min="8460" max="8460" width="10.625" style="57" customWidth="1"/>
    <col min="8461" max="8461" width="7.5" style="57" customWidth="1"/>
    <col min="8462" max="8464" width="11.625" style="57" customWidth="1"/>
    <col min="8465" max="8704" width="9" style="57"/>
    <col min="8705" max="8705" width="2.625" style="57" customWidth="1"/>
    <col min="8706" max="8706" width="10.625" style="57" customWidth="1"/>
    <col min="8707" max="8707" width="8.75" style="57" customWidth="1"/>
    <col min="8708" max="8709" width="7.5" style="57" customWidth="1"/>
    <col min="8710" max="8713" width="6.875" style="57" customWidth="1"/>
    <col min="8714" max="8714" width="10.625" style="57" customWidth="1"/>
    <col min="8715" max="8715" width="9.125" style="57" customWidth="1"/>
    <col min="8716" max="8716" width="10.625" style="57" customWidth="1"/>
    <col min="8717" max="8717" width="7.5" style="57" customWidth="1"/>
    <col min="8718" max="8720" width="11.625" style="57" customWidth="1"/>
    <col min="8721" max="8960" width="9" style="57"/>
    <col min="8961" max="8961" width="2.625" style="57" customWidth="1"/>
    <col min="8962" max="8962" width="10.625" style="57" customWidth="1"/>
    <col min="8963" max="8963" width="8.75" style="57" customWidth="1"/>
    <col min="8964" max="8965" width="7.5" style="57" customWidth="1"/>
    <col min="8966" max="8969" width="6.875" style="57" customWidth="1"/>
    <col min="8970" max="8970" width="10.625" style="57" customWidth="1"/>
    <col min="8971" max="8971" width="9.125" style="57" customWidth="1"/>
    <col min="8972" max="8972" width="10.625" style="57" customWidth="1"/>
    <col min="8973" max="8973" width="7.5" style="57" customWidth="1"/>
    <col min="8974" max="8976" width="11.625" style="57" customWidth="1"/>
    <col min="8977" max="9216" width="9" style="57"/>
    <col min="9217" max="9217" width="2.625" style="57" customWidth="1"/>
    <col min="9218" max="9218" width="10.625" style="57" customWidth="1"/>
    <col min="9219" max="9219" width="8.75" style="57" customWidth="1"/>
    <col min="9220" max="9221" width="7.5" style="57" customWidth="1"/>
    <col min="9222" max="9225" width="6.875" style="57" customWidth="1"/>
    <col min="9226" max="9226" width="10.625" style="57" customWidth="1"/>
    <col min="9227" max="9227" width="9.125" style="57" customWidth="1"/>
    <col min="9228" max="9228" width="10.625" style="57" customWidth="1"/>
    <col min="9229" max="9229" width="7.5" style="57" customWidth="1"/>
    <col min="9230" max="9232" width="11.625" style="57" customWidth="1"/>
    <col min="9233" max="9472" width="9" style="57"/>
    <col min="9473" max="9473" width="2.625" style="57" customWidth="1"/>
    <col min="9474" max="9474" width="10.625" style="57" customWidth="1"/>
    <col min="9475" max="9475" width="8.75" style="57" customWidth="1"/>
    <col min="9476" max="9477" width="7.5" style="57" customWidth="1"/>
    <col min="9478" max="9481" width="6.875" style="57" customWidth="1"/>
    <col min="9482" max="9482" width="10.625" style="57" customWidth="1"/>
    <col min="9483" max="9483" width="9.125" style="57" customWidth="1"/>
    <col min="9484" max="9484" width="10.625" style="57" customWidth="1"/>
    <col min="9485" max="9485" width="7.5" style="57" customWidth="1"/>
    <col min="9486" max="9488" width="11.625" style="57" customWidth="1"/>
    <col min="9489" max="9728" width="9" style="57"/>
    <col min="9729" max="9729" width="2.625" style="57" customWidth="1"/>
    <col min="9730" max="9730" width="10.625" style="57" customWidth="1"/>
    <col min="9731" max="9731" width="8.75" style="57" customWidth="1"/>
    <col min="9732" max="9733" width="7.5" style="57" customWidth="1"/>
    <col min="9734" max="9737" width="6.875" style="57" customWidth="1"/>
    <col min="9738" max="9738" width="10.625" style="57" customWidth="1"/>
    <col min="9739" max="9739" width="9.125" style="57" customWidth="1"/>
    <col min="9740" max="9740" width="10.625" style="57" customWidth="1"/>
    <col min="9741" max="9741" width="7.5" style="57" customWidth="1"/>
    <col min="9742" max="9744" width="11.625" style="57" customWidth="1"/>
    <col min="9745" max="9984" width="9" style="57"/>
    <col min="9985" max="9985" width="2.625" style="57" customWidth="1"/>
    <col min="9986" max="9986" width="10.625" style="57" customWidth="1"/>
    <col min="9987" max="9987" width="8.75" style="57" customWidth="1"/>
    <col min="9988" max="9989" width="7.5" style="57" customWidth="1"/>
    <col min="9990" max="9993" width="6.875" style="57" customWidth="1"/>
    <col min="9994" max="9994" width="10.625" style="57" customWidth="1"/>
    <col min="9995" max="9995" width="9.125" style="57" customWidth="1"/>
    <col min="9996" max="9996" width="10.625" style="57" customWidth="1"/>
    <col min="9997" max="9997" width="7.5" style="57" customWidth="1"/>
    <col min="9998" max="10000" width="11.625" style="57" customWidth="1"/>
    <col min="10001" max="10240" width="9" style="57"/>
    <col min="10241" max="10241" width="2.625" style="57" customWidth="1"/>
    <col min="10242" max="10242" width="10.625" style="57" customWidth="1"/>
    <col min="10243" max="10243" width="8.75" style="57" customWidth="1"/>
    <col min="10244" max="10245" width="7.5" style="57" customWidth="1"/>
    <col min="10246" max="10249" width="6.875" style="57" customWidth="1"/>
    <col min="10250" max="10250" width="10.625" style="57" customWidth="1"/>
    <col min="10251" max="10251" width="9.125" style="57" customWidth="1"/>
    <col min="10252" max="10252" width="10.625" style="57" customWidth="1"/>
    <col min="10253" max="10253" width="7.5" style="57" customWidth="1"/>
    <col min="10254" max="10256" width="11.625" style="57" customWidth="1"/>
    <col min="10257" max="10496" width="9" style="57"/>
    <col min="10497" max="10497" width="2.625" style="57" customWidth="1"/>
    <col min="10498" max="10498" width="10.625" style="57" customWidth="1"/>
    <col min="10499" max="10499" width="8.75" style="57" customWidth="1"/>
    <col min="10500" max="10501" width="7.5" style="57" customWidth="1"/>
    <col min="10502" max="10505" width="6.875" style="57" customWidth="1"/>
    <col min="10506" max="10506" width="10.625" style="57" customWidth="1"/>
    <col min="10507" max="10507" width="9.125" style="57" customWidth="1"/>
    <col min="10508" max="10508" width="10.625" style="57" customWidth="1"/>
    <col min="10509" max="10509" width="7.5" style="57" customWidth="1"/>
    <col min="10510" max="10512" width="11.625" style="57" customWidth="1"/>
    <col min="10513" max="10752" width="9" style="57"/>
    <col min="10753" max="10753" width="2.625" style="57" customWidth="1"/>
    <col min="10754" max="10754" width="10.625" style="57" customWidth="1"/>
    <col min="10755" max="10755" width="8.75" style="57" customWidth="1"/>
    <col min="10756" max="10757" width="7.5" style="57" customWidth="1"/>
    <col min="10758" max="10761" width="6.875" style="57" customWidth="1"/>
    <col min="10762" max="10762" width="10.625" style="57" customWidth="1"/>
    <col min="10763" max="10763" width="9.125" style="57" customWidth="1"/>
    <col min="10764" max="10764" width="10.625" style="57" customWidth="1"/>
    <col min="10765" max="10765" width="7.5" style="57" customWidth="1"/>
    <col min="10766" max="10768" width="11.625" style="57" customWidth="1"/>
    <col min="10769" max="11008" width="9" style="57"/>
    <col min="11009" max="11009" width="2.625" style="57" customWidth="1"/>
    <col min="11010" max="11010" width="10.625" style="57" customWidth="1"/>
    <col min="11011" max="11011" width="8.75" style="57" customWidth="1"/>
    <col min="11012" max="11013" width="7.5" style="57" customWidth="1"/>
    <col min="11014" max="11017" width="6.875" style="57" customWidth="1"/>
    <col min="11018" max="11018" width="10.625" style="57" customWidth="1"/>
    <col min="11019" max="11019" width="9.125" style="57" customWidth="1"/>
    <col min="11020" max="11020" width="10.625" style="57" customWidth="1"/>
    <col min="11021" max="11021" width="7.5" style="57" customWidth="1"/>
    <col min="11022" max="11024" width="11.625" style="57" customWidth="1"/>
    <col min="11025" max="11264" width="9" style="57"/>
    <col min="11265" max="11265" width="2.625" style="57" customWidth="1"/>
    <col min="11266" max="11266" width="10.625" style="57" customWidth="1"/>
    <col min="11267" max="11267" width="8.75" style="57" customWidth="1"/>
    <col min="11268" max="11269" width="7.5" style="57" customWidth="1"/>
    <col min="11270" max="11273" width="6.875" style="57" customWidth="1"/>
    <col min="11274" max="11274" width="10.625" style="57" customWidth="1"/>
    <col min="11275" max="11275" width="9.125" style="57" customWidth="1"/>
    <col min="11276" max="11276" width="10.625" style="57" customWidth="1"/>
    <col min="11277" max="11277" width="7.5" style="57" customWidth="1"/>
    <col min="11278" max="11280" width="11.625" style="57" customWidth="1"/>
    <col min="11281" max="11520" width="9" style="57"/>
    <col min="11521" max="11521" width="2.625" style="57" customWidth="1"/>
    <col min="11522" max="11522" width="10.625" style="57" customWidth="1"/>
    <col min="11523" max="11523" width="8.75" style="57" customWidth="1"/>
    <col min="11524" max="11525" width="7.5" style="57" customWidth="1"/>
    <col min="11526" max="11529" width="6.875" style="57" customWidth="1"/>
    <col min="11530" max="11530" width="10.625" style="57" customWidth="1"/>
    <col min="11531" max="11531" width="9.125" style="57" customWidth="1"/>
    <col min="11532" max="11532" width="10.625" style="57" customWidth="1"/>
    <col min="11533" max="11533" width="7.5" style="57" customWidth="1"/>
    <col min="11534" max="11536" width="11.625" style="57" customWidth="1"/>
    <col min="11537" max="11776" width="9" style="57"/>
    <col min="11777" max="11777" width="2.625" style="57" customWidth="1"/>
    <col min="11778" max="11778" width="10.625" style="57" customWidth="1"/>
    <col min="11779" max="11779" width="8.75" style="57" customWidth="1"/>
    <col min="11780" max="11781" width="7.5" style="57" customWidth="1"/>
    <col min="11782" max="11785" width="6.875" style="57" customWidth="1"/>
    <col min="11786" max="11786" width="10.625" style="57" customWidth="1"/>
    <col min="11787" max="11787" width="9.125" style="57" customWidth="1"/>
    <col min="11788" max="11788" width="10.625" style="57" customWidth="1"/>
    <col min="11789" max="11789" width="7.5" style="57" customWidth="1"/>
    <col min="11790" max="11792" width="11.625" style="57" customWidth="1"/>
    <col min="11793" max="12032" width="9" style="57"/>
    <col min="12033" max="12033" width="2.625" style="57" customWidth="1"/>
    <col min="12034" max="12034" width="10.625" style="57" customWidth="1"/>
    <col min="12035" max="12035" width="8.75" style="57" customWidth="1"/>
    <col min="12036" max="12037" width="7.5" style="57" customWidth="1"/>
    <col min="12038" max="12041" width="6.875" style="57" customWidth="1"/>
    <col min="12042" max="12042" width="10.625" style="57" customWidth="1"/>
    <col min="12043" max="12043" width="9.125" style="57" customWidth="1"/>
    <col min="12044" max="12044" width="10.625" style="57" customWidth="1"/>
    <col min="12045" max="12045" width="7.5" style="57" customWidth="1"/>
    <col min="12046" max="12048" width="11.625" style="57" customWidth="1"/>
    <col min="12049" max="12288" width="9" style="57"/>
    <col min="12289" max="12289" width="2.625" style="57" customWidth="1"/>
    <col min="12290" max="12290" width="10.625" style="57" customWidth="1"/>
    <col min="12291" max="12291" width="8.75" style="57" customWidth="1"/>
    <col min="12292" max="12293" width="7.5" style="57" customWidth="1"/>
    <col min="12294" max="12297" width="6.875" style="57" customWidth="1"/>
    <col min="12298" max="12298" width="10.625" style="57" customWidth="1"/>
    <col min="12299" max="12299" width="9.125" style="57" customWidth="1"/>
    <col min="12300" max="12300" width="10.625" style="57" customWidth="1"/>
    <col min="12301" max="12301" width="7.5" style="57" customWidth="1"/>
    <col min="12302" max="12304" width="11.625" style="57" customWidth="1"/>
    <col min="12305" max="12544" width="9" style="57"/>
    <col min="12545" max="12545" width="2.625" style="57" customWidth="1"/>
    <col min="12546" max="12546" width="10.625" style="57" customWidth="1"/>
    <col min="12547" max="12547" width="8.75" style="57" customWidth="1"/>
    <col min="12548" max="12549" width="7.5" style="57" customWidth="1"/>
    <col min="12550" max="12553" width="6.875" style="57" customWidth="1"/>
    <col min="12554" max="12554" width="10.625" style="57" customWidth="1"/>
    <col min="12555" max="12555" width="9.125" style="57" customWidth="1"/>
    <col min="12556" max="12556" width="10.625" style="57" customWidth="1"/>
    <col min="12557" max="12557" width="7.5" style="57" customWidth="1"/>
    <col min="12558" max="12560" width="11.625" style="57" customWidth="1"/>
    <col min="12561" max="12800" width="9" style="57"/>
    <col min="12801" max="12801" width="2.625" style="57" customWidth="1"/>
    <col min="12802" max="12802" width="10.625" style="57" customWidth="1"/>
    <col min="12803" max="12803" width="8.75" style="57" customWidth="1"/>
    <col min="12804" max="12805" width="7.5" style="57" customWidth="1"/>
    <col min="12806" max="12809" width="6.875" style="57" customWidth="1"/>
    <col min="12810" max="12810" width="10.625" style="57" customWidth="1"/>
    <col min="12811" max="12811" width="9.125" style="57" customWidth="1"/>
    <col min="12812" max="12812" width="10.625" style="57" customWidth="1"/>
    <col min="12813" max="12813" width="7.5" style="57" customWidth="1"/>
    <col min="12814" max="12816" width="11.625" style="57" customWidth="1"/>
    <col min="12817" max="13056" width="9" style="57"/>
    <col min="13057" max="13057" width="2.625" style="57" customWidth="1"/>
    <col min="13058" max="13058" width="10.625" style="57" customWidth="1"/>
    <col min="13059" max="13059" width="8.75" style="57" customWidth="1"/>
    <col min="13060" max="13061" width="7.5" style="57" customWidth="1"/>
    <col min="13062" max="13065" width="6.875" style="57" customWidth="1"/>
    <col min="13066" max="13066" width="10.625" style="57" customWidth="1"/>
    <col min="13067" max="13067" width="9.125" style="57" customWidth="1"/>
    <col min="13068" max="13068" width="10.625" style="57" customWidth="1"/>
    <col min="13069" max="13069" width="7.5" style="57" customWidth="1"/>
    <col min="13070" max="13072" width="11.625" style="57" customWidth="1"/>
    <col min="13073" max="13312" width="9" style="57"/>
    <col min="13313" max="13313" width="2.625" style="57" customWidth="1"/>
    <col min="13314" max="13314" width="10.625" style="57" customWidth="1"/>
    <col min="13315" max="13315" width="8.75" style="57" customWidth="1"/>
    <col min="13316" max="13317" width="7.5" style="57" customWidth="1"/>
    <col min="13318" max="13321" width="6.875" style="57" customWidth="1"/>
    <col min="13322" max="13322" width="10.625" style="57" customWidth="1"/>
    <col min="13323" max="13323" width="9.125" style="57" customWidth="1"/>
    <col min="13324" max="13324" width="10.625" style="57" customWidth="1"/>
    <col min="13325" max="13325" width="7.5" style="57" customWidth="1"/>
    <col min="13326" max="13328" width="11.625" style="57" customWidth="1"/>
    <col min="13329" max="13568" width="9" style="57"/>
    <col min="13569" max="13569" width="2.625" style="57" customWidth="1"/>
    <col min="13570" max="13570" width="10.625" style="57" customWidth="1"/>
    <col min="13571" max="13571" width="8.75" style="57" customWidth="1"/>
    <col min="13572" max="13573" width="7.5" style="57" customWidth="1"/>
    <col min="13574" max="13577" width="6.875" style="57" customWidth="1"/>
    <col min="13578" max="13578" width="10.625" style="57" customWidth="1"/>
    <col min="13579" max="13579" width="9.125" style="57" customWidth="1"/>
    <col min="13580" max="13580" width="10.625" style="57" customWidth="1"/>
    <col min="13581" max="13581" width="7.5" style="57" customWidth="1"/>
    <col min="13582" max="13584" width="11.625" style="57" customWidth="1"/>
    <col min="13585" max="13824" width="9" style="57"/>
    <col min="13825" max="13825" width="2.625" style="57" customWidth="1"/>
    <col min="13826" max="13826" width="10.625" style="57" customWidth="1"/>
    <col min="13827" max="13827" width="8.75" style="57" customWidth="1"/>
    <col min="13828" max="13829" width="7.5" style="57" customWidth="1"/>
    <col min="13830" max="13833" width="6.875" style="57" customWidth="1"/>
    <col min="13834" max="13834" width="10.625" style="57" customWidth="1"/>
    <col min="13835" max="13835" width="9.125" style="57" customWidth="1"/>
    <col min="13836" max="13836" width="10.625" style="57" customWidth="1"/>
    <col min="13837" max="13837" width="7.5" style="57" customWidth="1"/>
    <col min="13838" max="13840" width="11.625" style="57" customWidth="1"/>
    <col min="13841" max="14080" width="9" style="57"/>
    <col min="14081" max="14081" width="2.625" style="57" customWidth="1"/>
    <col min="14082" max="14082" width="10.625" style="57" customWidth="1"/>
    <col min="14083" max="14083" width="8.75" style="57" customWidth="1"/>
    <col min="14084" max="14085" width="7.5" style="57" customWidth="1"/>
    <col min="14086" max="14089" width="6.875" style="57" customWidth="1"/>
    <col min="14090" max="14090" width="10.625" style="57" customWidth="1"/>
    <col min="14091" max="14091" width="9.125" style="57" customWidth="1"/>
    <col min="14092" max="14092" width="10.625" style="57" customWidth="1"/>
    <col min="14093" max="14093" width="7.5" style="57" customWidth="1"/>
    <col min="14094" max="14096" width="11.625" style="57" customWidth="1"/>
    <col min="14097" max="14336" width="9" style="57"/>
    <col min="14337" max="14337" width="2.625" style="57" customWidth="1"/>
    <col min="14338" max="14338" width="10.625" style="57" customWidth="1"/>
    <col min="14339" max="14339" width="8.75" style="57" customWidth="1"/>
    <col min="14340" max="14341" width="7.5" style="57" customWidth="1"/>
    <col min="14342" max="14345" width="6.875" style="57" customWidth="1"/>
    <col min="14346" max="14346" width="10.625" style="57" customWidth="1"/>
    <col min="14347" max="14347" width="9.125" style="57" customWidth="1"/>
    <col min="14348" max="14348" width="10.625" style="57" customWidth="1"/>
    <col min="14349" max="14349" width="7.5" style="57" customWidth="1"/>
    <col min="14350" max="14352" width="11.625" style="57" customWidth="1"/>
    <col min="14353" max="14592" width="9" style="57"/>
    <col min="14593" max="14593" width="2.625" style="57" customWidth="1"/>
    <col min="14594" max="14594" width="10.625" style="57" customWidth="1"/>
    <col min="14595" max="14595" width="8.75" style="57" customWidth="1"/>
    <col min="14596" max="14597" width="7.5" style="57" customWidth="1"/>
    <col min="14598" max="14601" width="6.875" style="57" customWidth="1"/>
    <col min="14602" max="14602" width="10.625" style="57" customWidth="1"/>
    <col min="14603" max="14603" width="9.125" style="57" customWidth="1"/>
    <col min="14604" max="14604" width="10.625" style="57" customWidth="1"/>
    <col min="14605" max="14605" width="7.5" style="57" customWidth="1"/>
    <col min="14606" max="14608" width="11.625" style="57" customWidth="1"/>
    <col min="14609" max="14848" width="9" style="57"/>
    <col min="14849" max="14849" width="2.625" style="57" customWidth="1"/>
    <col min="14850" max="14850" width="10.625" style="57" customWidth="1"/>
    <col min="14851" max="14851" width="8.75" style="57" customWidth="1"/>
    <col min="14852" max="14853" width="7.5" style="57" customWidth="1"/>
    <col min="14854" max="14857" width="6.875" style="57" customWidth="1"/>
    <col min="14858" max="14858" width="10.625" style="57" customWidth="1"/>
    <col min="14859" max="14859" width="9.125" style="57" customWidth="1"/>
    <col min="14860" max="14860" width="10.625" style="57" customWidth="1"/>
    <col min="14861" max="14861" width="7.5" style="57" customWidth="1"/>
    <col min="14862" max="14864" width="11.625" style="57" customWidth="1"/>
    <col min="14865" max="15104" width="9" style="57"/>
    <col min="15105" max="15105" width="2.625" style="57" customWidth="1"/>
    <col min="15106" max="15106" width="10.625" style="57" customWidth="1"/>
    <col min="15107" max="15107" width="8.75" style="57" customWidth="1"/>
    <col min="15108" max="15109" width="7.5" style="57" customWidth="1"/>
    <col min="15110" max="15113" width="6.875" style="57" customWidth="1"/>
    <col min="15114" max="15114" width="10.625" style="57" customWidth="1"/>
    <col min="15115" max="15115" width="9.125" style="57" customWidth="1"/>
    <col min="15116" max="15116" width="10.625" style="57" customWidth="1"/>
    <col min="15117" max="15117" width="7.5" style="57" customWidth="1"/>
    <col min="15118" max="15120" width="11.625" style="57" customWidth="1"/>
    <col min="15121" max="15360" width="9" style="57"/>
    <col min="15361" max="15361" width="2.625" style="57" customWidth="1"/>
    <col min="15362" max="15362" width="10.625" style="57" customWidth="1"/>
    <col min="15363" max="15363" width="8.75" style="57" customWidth="1"/>
    <col min="15364" max="15365" width="7.5" style="57" customWidth="1"/>
    <col min="15366" max="15369" width="6.875" style="57" customWidth="1"/>
    <col min="15370" max="15370" width="10.625" style="57" customWidth="1"/>
    <col min="15371" max="15371" width="9.125" style="57" customWidth="1"/>
    <col min="15372" max="15372" width="10.625" style="57" customWidth="1"/>
    <col min="15373" max="15373" width="7.5" style="57" customWidth="1"/>
    <col min="15374" max="15376" width="11.625" style="57" customWidth="1"/>
    <col min="15377" max="15616" width="9" style="57"/>
    <col min="15617" max="15617" width="2.625" style="57" customWidth="1"/>
    <col min="15618" max="15618" width="10.625" style="57" customWidth="1"/>
    <col min="15619" max="15619" width="8.75" style="57" customWidth="1"/>
    <col min="15620" max="15621" width="7.5" style="57" customWidth="1"/>
    <col min="15622" max="15625" width="6.875" style="57" customWidth="1"/>
    <col min="15626" max="15626" width="10.625" style="57" customWidth="1"/>
    <col min="15627" max="15627" width="9.125" style="57" customWidth="1"/>
    <col min="15628" max="15628" width="10.625" style="57" customWidth="1"/>
    <col min="15629" max="15629" width="7.5" style="57" customWidth="1"/>
    <col min="15630" max="15632" width="11.625" style="57" customWidth="1"/>
    <col min="15633" max="15872" width="9" style="57"/>
    <col min="15873" max="15873" width="2.625" style="57" customWidth="1"/>
    <col min="15874" max="15874" width="10.625" style="57" customWidth="1"/>
    <col min="15875" max="15875" width="8.75" style="57" customWidth="1"/>
    <col min="15876" max="15877" width="7.5" style="57" customWidth="1"/>
    <col min="15878" max="15881" width="6.875" style="57" customWidth="1"/>
    <col min="15882" max="15882" width="10.625" style="57" customWidth="1"/>
    <col min="15883" max="15883" width="9.125" style="57" customWidth="1"/>
    <col min="15884" max="15884" width="10.625" style="57" customWidth="1"/>
    <col min="15885" max="15885" width="7.5" style="57" customWidth="1"/>
    <col min="15886" max="15888" width="11.625" style="57" customWidth="1"/>
    <col min="15889" max="16128" width="9" style="57"/>
    <col min="16129" max="16129" width="2.625" style="57" customWidth="1"/>
    <col min="16130" max="16130" width="10.625" style="57" customWidth="1"/>
    <col min="16131" max="16131" width="8.75" style="57" customWidth="1"/>
    <col min="16132" max="16133" width="7.5" style="57" customWidth="1"/>
    <col min="16134" max="16137" width="6.875" style="57" customWidth="1"/>
    <col min="16138" max="16138" width="10.625" style="57" customWidth="1"/>
    <col min="16139" max="16139" width="9.125" style="57" customWidth="1"/>
    <col min="16140" max="16140" width="10.625" style="57" customWidth="1"/>
    <col min="16141" max="16141" width="7.5" style="57" customWidth="1"/>
    <col min="16142" max="16144" width="11.625" style="57" customWidth="1"/>
    <col min="16145" max="16384" width="9" style="57"/>
  </cols>
  <sheetData>
    <row r="1" spans="2:19">
      <c r="L1" s="565" t="s">
        <v>77</v>
      </c>
      <c r="M1" s="555" t="e">
        <f>#REF!</f>
        <v>#REF!</v>
      </c>
      <c r="N1" s="555"/>
      <c r="O1" s="555"/>
      <c r="P1" s="555"/>
    </row>
    <row r="2" spans="2:19">
      <c r="B2" s="57" t="s">
        <v>282</v>
      </c>
    </row>
    <row r="3" spans="2:19" ht="14.25" thickBot="1"/>
    <row r="4" spans="2:19" ht="27">
      <c r="B4" s="556" t="s">
        <v>25</v>
      </c>
      <c r="C4" s="566" t="s">
        <v>283</v>
      </c>
      <c r="D4" s="558" t="s">
        <v>284</v>
      </c>
      <c r="E4" s="558" t="s">
        <v>285</v>
      </c>
      <c r="F4" s="567" t="s">
        <v>286</v>
      </c>
      <c r="G4" s="567" t="s">
        <v>287</v>
      </c>
      <c r="H4" s="568" t="s">
        <v>288</v>
      </c>
      <c r="I4" s="559" t="s">
        <v>289</v>
      </c>
      <c r="J4" s="559" t="s">
        <v>290</v>
      </c>
      <c r="K4" s="559" t="s">
        <v>79</v>
      </c>
      <c r="L4" s="557" t="s">
        <v>291</v>
      </c>
      <c r="M4" s="557" t="s">
        <v>80</v>
      </c>
      <c r="N4" s="569" t="s">
        <v>292</v>
      </c>
      <c r="O4" s="570"/>
      <c r="P4" s="571" t="s">
        <v>293</v>
      </c>
      <c r="R4" s="64" t="s">
        <v>83</v>
      </c>
      <c r="S4" s="192" t="s">
        <v>73</v>
      </c>
    </row>
    <row r="5" spans="2:19" ht="27.2" customHeight="1" thickBot="1">
      <c r="B5" s="572"/>
      <c r="C5" s="573"/>
      <c r="D5" s="574"/>
      <c r="E5" s="574"/>
      <c r="F5" s="575" t="s">
        <v>294</v>
      </c>
      <c r="G5" s="575" t="s">
        <v>294</v>
      </c>
      <c r="H5" s="575" t="s">
        <v>294</v>
      </c>
      <c r="I5" s="575" t="s">
        <v>295</v>
      </c>
      <c r="J5" s="575" t="s">
        <v>296</v>
      </c>
      <c r="K5" s="575" t="s">
        <v>297</v>
      </c>
      <c r="L5" s="576" t="s">
        <v>91</v>
      </c>
      <c r="M5" s="576" t="s">
        <v>280</v>
      </c>
      <c r="N5" s="577" t="s">
        <v>298</v>
      </c>
      <c r="O5" s="578" t="s">
        <v>299</v>
      </c>
      <c r="P5" s="579" t="s">
        <v>300</v>
      </c>
      <c r="R5" s="77"/>
      <c r="S5" s="203" t="s">
        <v>88</v>
      </c>
    </row>
    <row r="6" spans="2:19">
      <c r="B6" s="580" t="s">
        <v>301</v>
      </c>
      <c r="C6" s="581" t="s">
        <v>302</v>
      </c>
      <c r="D6" s="582"/>
      <c r="E6" s="582"/>
      <c r="F6" s="583"/>
      <c r="G6" s="583"/>
      <c r="H6" s="583"/>
      <c r="I6" s="584">
        <v>1.5</v>
      </c>
      <c r="J6" s="584">
        <f>(F6*G6*2+(F6*2+G6*2)*H6)*I6/1000</f>
        <v>0</v>
      </c>
      <c r="K6" s="584">
        <v>7.93</v>
      </c>
      <c r="L6" s="585">
        <f>J6*K6*1000</f>
        <v>0</v>
      </c>
      <c r="M6" s="586"/>
      <c r="N6" s="587"/>
      <c r="O6" s="588">
        <f>L6*M6</f>
        <v>0</v>
      </c>
      <c r="P6" s="589"/>
      <c r="R6" s="87"/>
      <c r="S6" s="590"/>
    </row>
    <row r="7" spans="2:19">
      <c r="B7" s="591" t="s">
        <v>164</v>
      </c>
      <c r="C7" s="592" t="s">
        <v>302</v>
      </c>
      <c r="D7" s="593"/>
      <c r="E7" s="593"/>
      <c r="F7" s="594"/>
      <c r="G7" s="594"/>
      <c r="H7" s="594"/>
      <c r="I7" s="595">
        <v>1.5</v>
      </c>
      <c r="J7" s="595">
        <f t="shared" ref="J7:J25" si="0">(F7*G7*2+(F7*2+G7*2)*H7)*I7/1000</f>
        <v>0</v>
      </c>
      <c r="K7" s="595">
        <f>K6</f>
        <v>7.93</v>
      </c>
      <c r="L7" s="595">
        <f t="shared" ref="L7:L15" si="1">J7*K7*1000</f>
        <v>0</v>
      </c>
      <c r="M7" s="596"/>
      <c r="N7" s="597"/>
      <c r="O7" s="598">
        <f>L7*M7</f>
        <v>0</v>
      </c>
      <c r="P7" s="599"/>
      <c r="R7" s="97"/>
      <c r="S7" s="600"/>
    </row>
    <row r="8" spans="2:19">
      <c r="B8" s="591" t="s">
        <v>164</v>
      </c>
      <c r="C8" s="592" t="s">
        <v>302</v>
      </c>
      <c r="D8" s="593"/>
      <c r="E8" s="593"/>
      <c r="F8" s="594"/>
      <c r="G8" s="594"/>
      <c r="H8" s="594"/>
      <c r="I8" s="595">
        <v>1.5</v>
      </c>
      <c r="J8" s="595">
        <f t="shared" si="0"/>
        <v>0</v>
      </c>
      <c r="K8" s="595">
        <f>K7</f>
        <v>7.93</v>
      </c>
      <c r="L8" s="595">
        <f t="shared" si="1"/>
        <v>0</v>
      </c>
      <c r="M8" s="596"/>
      <c r="N8" s="597"/>
      <c r="O8" s="598">
        <f>L8*M8</f>
        <v>0</v>
      </c>
      <c r="P8" s="599"/>
      <c r="R8" s="97"/>
      <c r="S8" s="600"/>
    </row>
    <row r="9" spans="2:19">
      <c r="B9" s="135" t="s">
        <v>164</v>
      </c>
      <c r="C9" s="592" t="s">
        <v>281</v>
      </c>
      <c r="D9" s="593"/>
      <c r="E9" s="593"/>
      <c r="F9" s="594">
        <v>0.35</v>
      </c>
      <c r="G9" s="594">
        <v>0.35</v>
      </c>
      <c r="H9" s="594">
        <v>0.15</v>
      </c>
      <c r="I9" s="595">
        <v>1.6</v>
      </c>
      <c r="J9" s="595">
        <f>(F9*G9*2+(F9*2+G9*2)*H9)*I9/1000</f>
        <v>7.2800000000000002E-4</v>
      </c>
      <c r="K9" s="595">
        <f>K8</f>
        <v>7.93</v>
      </c>
      <c r="L9" s="595">
        <f t="shared" si="1"/>
        <v>5.7730399999999999</v>
      </c>
      <c r="M9" s="596"/>
      <c r="N9" s="598">
        <f t="shared" ref="N9:N21" si="2">L9*M9</f>
        <v>0</v>
      </c>
      <c r="O9" s="601"/>
      <c r="P9" s="602"/>
      <c r="R9" s="97"/>
      <c r="S9" s="600"/>
    </row>
    <row r="10" spans="2:19">
      <c r="B10" s="603" t="s">
        <v>164</v>
      </c>
      <c r="C10" s="604" t="s">
        <v>281</v>
      </c>
      <c r="D10" s="605"/>
      <c r="E10" s="605"/>
      <c r="F10" s="606">
        <v>0.15</v>
      </c>
      <c r="G10" s="606">
        <v>0.15</v>
      </c>
      <c r="H10" s="606">
        <v>0.1</v>
      </c>
      <c r="I10" s="607">
        <v>1.6</v>
      </c>
      <c r="J10" s="607">
        <f t="shared" ref="J10" si="3">(F10*G10*2+(F10*2+G10*2)*H10)*I10/1000</f>
        <v>1.6800000000000002E-4</v>
      </c>
      <c r="K10" s="607">
        <f>K9</f>
        <v>7.93</v>
      </c>
      <c r="L10" s="608">
        <f t="shared" si="1"/>
        <v>1.3322400000000001</v>
      </c>
      <c r="M10" s="609"/>
      <c r="N10" s="610">
        <f t="shared" si="2"/>
        <v>0</v>
      </c>
      <c r="O10" s="611"/>
      <c r="P10" s="612"/>
      <c r="R10" s="97"/>
      <c r="S10" s="600"/>
    </row>
    <row r="11" spans="2:19">
      <c r="B11" s="613" t="s">
        <v>301</v>
      </c>
      <c r="C11" s="614" t="s">
        <v>281</v>
      </c>
      <c r="D11" s="615"/>
      <c r="E11" s="615"/>
      <c r="F11" s="616">
        <v>0.15</v>
      </c>
      <c r="G11" s="616">
        <v>0.15</v>
      </c>
      <c r="H11" s="616">
        <v>0.1</v>
      </c>
      <c r="I11" s="617">
        <v>1.6</v>
      </c>
      <c r="J11" s="617">
        <f t="shared" si="0"/>
        <v>1.6800000000000002E-4</v>
      </c>
      <c r="K11" s="617">
        <v>7.85</v>
      </c>
      <c r="L11" s="618">
        <f t="shared" si="1"/>
        <v>1.3188000000000002</v>
      </c>
      <c r="M11" s="619"/>
      <c r="N11" s="620">
        <f t="shared" si="2"/>
        <v>0</v>
      </c>
      <c r="O11" s="621"/>
      <c r="P11" s="622"/>
      <c r="R11" s="97"/>
      <c r="S11" s="600"/>
    </row>
    <row r="12" spans="2:19">
      <c r="B12" s="135" t="s">
        <v>164</v>
      </c>
      <c r="C12" s="592" t="s">
        <v>281</v>
      </c>
      <c r="D12" s="593"/>
      <c r="E12" s="593"/>
      <c r="F12" s="594">
        <v>0.4</v>
      </c>
      <c r="G12" s="594">
        <v>0.4</v>
      </c>
      <c r="H12" s="594">
        <v>0.3</v>
      </c>
      <c r="I12" s="595">
        <v>1.6</v>
      </c>
      <c r="J12" s="595">
        <f t="shared" si="0"/>
        <v>1.2800000000000003E-3</v>
      </c>
      <c r="K12" s="595">
        <f>K11</f>
        <v>7.85</v>
      </c>
      <c r="L12" s="595">
        <f t="shared" si="1"/>
        <v>10.048000000000002</v>
      </c>
      <c r="M12" s="596"/>
      <c r="N12" s="598">
        <f t="shared" si="2"/>
        <v>0</v>
      </c>
      <c r="O12" s="601"/>
      <c r="P12" s="602"/>
      <c r="R12" s="97"/>
      <c r="S12" s="600"/>
    </row>
    <row r="13" spans="2:19">
      <c r="B13" s="135" t="s">
        <v>164</v>
      </c>
      <c r="C13" s="592" t="s">
        <v>281</v>
      </c>
      <c r="D13" s="593"/>
      <c r="E13" s="593"/>
      <c r="F13" s="594">
        <v>0.25</v>
      </c>
      <c r="G13" s="594">
        <v>0.25</v>
      </c>
      <c r="H13" s="594">
        <v>0.15</v>
      </c>
      <c r="I13" s="595">
        <v>1.6</v>
      </c>
      <c r="J13" s="595">
        <f t="shared" si="0"/>
        <v>4.4000000000000007E-4</v>
      </c>
      <c r="K13" s="595">
        <f>K12</f>
        <v>7.85</v>
      </c>
      <c r="L13" s="595">
        <f t="shared" si="1"/>
        <v>3.4540000000000006</v>
      </c>
      <c r="M13" s="596"/>
      <c r="N13" s="598">
        <f t="shared" si="2"/>
        <v>0</v>
      </c>
      <c r="O13" s="601"/>
      <c r="P13" s="602"/>
      <c r="R13" s="97"/>
      <c r="S13" s="600"/>
    </row>
    <row r="14" spans="2:19">
      <c r="B14" s="135" t="s">
        <v>164</v>
      </c>
      <c r="C14" s="592" t="s">
        <v>281</v>
      </c>
      <c r="D14" s="593"/>
      <c r="E14" s="593"/>
      <c r="F14" s="594">
        <v>0.3</v>
      </c>
      <c r="G14" s="594">
        <v>0.3</v>
      </c>
      <c r="H14" s="594">
        <v>0.2</v>
      </c>
      <c r="I14" s="595">
        <v>1.6</v>
      </c>
      <c r="J14" s="595">
        <f t="shared" si="0"/>
        <v>6.7200000000000007E-4</v>
      </c>
      <c r="K14" s="595">
        <f>K13</f>
        <v>7.85</v>
      </c>
      <c r="L14" s="595">
        <f t="shared" si="1"/>
        <v>5.2752000000000008</v>
      </c>
      <c r="M14" s="596"/>
      <c r="N14" s="598">
        <f t="shared" si="2"/>
        <v>0</v>
      </c>
      <c r="O14" s="601"/>
      <c r="P14" s="602"/>
      <c r="R14" s="97"/>
      <c r="S14" s="600"/>
    </row>
    <row r="15" spans="2:19">
      <c r="B15" s="603" t="s">
        <v>164</v>
      </c>
      <c r="C15" s="604" t="s">
        <v>281</v>
      </c>
      <c r="D15" s="605"/>
      <c r="E15" s="605"/>
      <c r="F15" s="606">
        <v>0.3</v>
      </c>
      <c r="G15" s="606">
        <v>0.3</v>
      </c>
      <c r="H15" s="606">
        <v>0.3</v>
      </c>
      <c r="I15" s="607">
        <v>1.6</v>
      </c>
      <c r="J15" s="607">
        <f t="shared" si="0"/>
        <v>8.6400000000000008E-4</v>
      </c>
      <c r="K15" s="607">
        <f>K14</f>
        <v>7.85</v>
      </c>
      <c r="L15" s="608">
        <f t="shared" si="1"/>
        <v>6.7824</v>
      </c>
      <c r="M15" s="609"/>
      <c r="N15" s="610">
        <f t="shared" si="2"/>
        <v>0</v>
      </c>
      <c r="O15" s="611"/>
      <c r="P15" s="612"/>
      <c r="R15" s="97"/>
      <c r="S15" s="600"/>
    </row>
    <row r="16" spans="2:19">
      <c r="B16" s="613" t="s">
        <v>301</v>
      </c>
      <c r="C16" s="614" t="s">
        <v>281</v>
      </c>
      <c r="D16" s="615"/>
      <c r="E16" s="615"/>
      <c r="F16" s="616">
        <v>0.5</v>
      </c>
      <c r="G16" s="616">
        <v>0.5</v>
      </c>
      <c r="H16" s="616">
        <v>0.3</v>
      </c>
      <c r="I16" s="617">
        <v>1.6</v>
      </c>
      <c r="J16" s="617">
        <f t="shared" si="0"/>
        <v>1.7600000000000003E-3</v>
      </c>
      <c r="K16" s="617">
        <v>7.85</v>
      </c>
      <c r="L16" s="617">
        <f>J16*K16</f>
        <v>1.3816000000000002E-2</v>
      </c>
      <c r="M16" s="619"/>
      <c r="N16" s="620">
        <f t="shared" si="2"/>
        <v>0</v>
      </c>
      <c r="O16" s="621"/>
      <c r="P16" s="622"/>
      <c r="R16" s="97"/>
      <c r="S16" s="600"/>
    </row>
    <row r="17" spans="2:19">
      <c r="B17" s="90"/>
      <c r="C17" s="592" t="s">
        <v>281</v>
      </c>
      <c r="D17" s="593"/>
      <c r="E17" s="593"/>
      <c r="F17" s="594">
        <v>0.15</v>
      </c>
      <c r="G17" s="594">
        <v>0.1</v>
      </c>
      <c r="H17" s="594">
        <v>0.5</v>
      </c>
      <c r="I17" s="595">
        <v>1.6</v>
      </c>
      <c r="J17" s="595">
        <f t="shared" si="0"/>
        <v>4.4800000000000005E-4</v>
      </c>
      <c r="K17" s="595">
        <v>7.85</v>
      </c>
      <c r="L17" s="595">
        <f t="shared" ref="L17:L25" si="4">J17*K17</f>
        <v>3.5168E-3</v>
      </c>
      <c r="M17" s="596"/>
      <c r="N17" s="598">
        <f t="shared" si="2"/>
        <v>0</v>
      </c>
      <c r="O17" s="601"/>
      <c r="P17" s="602"/>
      <c r="R17" s="97"/>
      <c r="S17" s="600"/>
    </row>
    <row r="18" spans="2:19">
      <c r="B18" s="90"/>
      <c r="C18" s="592" t="s">
        <v>281</v>
      </c>
      <c r="D18" s="593"/>
      <c r="E18" s="593"/>
      <c r="F18" s="594">
        <v>0.2</v>
      </c>
      <c r="G18" s="594">
        <v>0.2</v>
      </c>
      <c r="H18" s="594">
        <v>0.2</v>
      </c>
      <c r="I18" s="595">
        <v>1.6</v>
      </c>
      <c r="J18" s="595">
        <f t="shared" si="0"/>
        <v>3.8400000000000012E-4</v>
      </c>
      <c r="K18" s="595">
        <v>7.85</v>
      </c>
      <c r="L18" s="595">
        <f t="shared" si="4"/>
        <v>3.0144000000000008E-3</v>
      </c>
      <c r="M18" s="596"/>
      <c r="N18" s="598">
        <f t="shared" si="2"/>
        <v>0</v>
      </c>
      <c r="O18" s="601"/>
      <c r="P18" s="602"/>
      <c r="R18" s="97"/>
      <c r="S18" s="600"/>
    </row>
    <row r="19" spans="2:19">
      <c r="B19" s="90"/>
      <c r="C19" s="592" t="s">
        <v>281</v>
      </c>
      <c r="D19" s="593"/>
      <c r="E19" s="593"/>
      <c r="F19" s="594">
        <v>0.2</v>
      </c>
      <c r="G19" s="594">
        <v>0.2</v>
      </c>
      <c r="H19" s="594">
        <v>0.1</v>
      </c>
      <c r="I19" s="595">
        <v>1.6</v>
      </c>
      <c r="J19" s="595">
        <f t="shared" si="0"/>
        <v>2.5600000000000004E-4</v>
      </c>
      <c r="K19" s="595">
        <v>7.85</v>
      </c>
      <c r="L19" s="595">
        <f t="shared" si="4"/>
        <v>2.0096000000000003E-3</v>
      </c>
      <c r="M19" s="596"/>
      <c r="N19" s="598">
        <f t="shared" si="2"/>
        <v>0</v>
      </c>
      <c r="O19" s="601"/>
      <c r="P19" s="602"/>
      <c r="R19" s="97"/>
      <c r="S19" s="600"/>
    </row>
    <row r="20" spans="2:19">
      <c r="B20" s="100"/>
      <c r="C20" s="623" t="s">
        <v>281</v>
      </c>
      <c r="D20" s="605"/>
      <c r="E20" s="605"/>
      <c r="F20" s="594">
        <v>0.3</v>
      </c>
      <c r="G20" s="594">
        <v>0.3</v>
      </c>
      <c r="H20" s="594">
        <v>0.15</v>
      </c>
      <c r="I20" s="595">
        <v>1.6</v>
      </c>
      <c r="J20" s="595">
        <f t="shared" si="0"/>
        <v>5.7599999999999991E-4</v>
      </c>
      <c r="K20" s="595">
        <v>7.85</v>
      </c>
      <c r="L20" s="595">
        <f t="shared" si="4"/>
        <v>4.5215999999999989E-3</v>
      </c>
      <c r="M20" s="596"/>
      <c r="N20" s="610">
        <f t="shared" si="2"/>
        <v>0</v>
      </c>
      <c r="O20" s="601"/>
      <c r="P20" s="612"/>
      <c r="R20" s="97"/>
      <c r="S20" s="600"/>
    </row>
    <row r="21" spans="2:19" ht="13.5" customHeight="1">
      <c r="B21" s="624" t="s">
        <v>303</v>
      </c>
      <c r="C21" s="614" t="s">
        <v>281</v>
      </c>
      <c r="D21" s="615"/>
      <c r="E21" s="615"/>
      <c r="F21" s="616">
        <v>0.124</v>
      </c>
      <c r="G21" s="616">
        <v>7.4999999999999997E-2</v>
      </c>
      <c r="H21" s="616">
        <v>0.04</v>
      </c>
      <c r="I21" s="617">
        <v>1.6</v>
      </c>
      <c r="J21" s="617">
        <f t="shared" si="0"/>
        <v>5.5231999999999996E-5</v>
      </c>
      <c r="K21" s="617">
        <v>7.85</v>
      </c>
      <c r="L21" s="617">
        <f>J21*K21</f>
        <v>4.3357119999999996E-4</v>
      </c>
      <c r="M21" s="619"/>
      <c r="N21" s="620">
        <f t="shared" si="2"/>
        <v>0</v>
      </c>
      <c r="O21" s="621"/>
      <c r="P21" s="622"/>
      <c r="R21" s="97"/>
      <c r="S21" s="600"/>
    </row>
    <row r="22" spans="2:19">
      <c r="B22" s="135" t="s">
        <v>304</v>
      </c>
      <c r="C22" s="592" t="s">
        <v>305</v>
      </c>
      <c r="D22" s="625"/>
      <c r="E22" s="593"/>
      <c r="F22" s="594">
        <v>0.15</v>
      </c>
      <c r="G22" s="594">
        <v>0.15</v>
      </c>
      <c r="H22" s="594">
        <v>0.15</v>
      </c>
      <c r="I22" s="595">
        <v>3</v>
      </c>
      <c r="J22" s="595">
        <f t="shared" si="0"/>
        <v>4.0500000000000003E-4</v>
      </c>
      <c r="K22" s="595">
        <v>1.4</v>
      </c>
      <c r="L22" s="595">
        <f t="shared" si="4"/>
        <v>5.6700000000000001E-4</v>
      </c>
      <c r="M22" s="596"/>
      <c r="N22" s="601"/>
      <c r="O22" s="601"/>
      <c r="P22" s="626">
        <f>M22*L22</f>
        <v>0</v>
      </c>
      <c r="R22" s="97">
        <v>3.375E-3</v>
      </c>
      <c r="S22" s="600">
        <f>M22*R22</f>
        <v>0</v>
      </c>
    </row>
    <row r="23" spans="2:19">
      <c r="B23" s="627" t="s">
        <v>306</v>
      </c>
      <c r="C23" s="592" t="s">
        <v>305</v>
      </c>
      <c r="D23" s="625"/>
      <c r="E23" s="593"/>
      <c r="F23" s="594">
        <v>0.05</v>
      </c>
      <c r="G23" s="594">
        <v>0.05</v>
      </c>
      <c r="H23" s="594">
        <v>1.9E-2</v>
      </c>
      <c r="I23" s="595">
        <v>3</v>
      </c>
      <c r="J23" s="595">
        <f t="shared" si="0"/>
        <v>2.6400000000000001E-5</v>
      </c>
      <c r="K23" s="595">
        <v>1.4</v>
      </c>
      <c r="L23" s="595">
        <f t="shared" si="4"/>
        <v>3.6959999999999998E-5</v>
      </c>
      <c r="M23" s="596"/>
      <c r="N23" s="601"/>
      <c r="O23" s="601"/>
      <c r="P23" s="626">
        <f t="shared" ref="P23:P25" si="5">M23*L23</f>
        <v>0</v>
      </c>
      <c r="R23" s="97">
        <v>4.5777600000000002E-4</v>
      </c>
      <c r="S23" s="600">
        <f t="shared" ref="S23:S24" si="6">M23*R23</f>
        <v>0</v>
      </c>
    </row>
    <row r="24" spans="2:19">
      <c r="B24" s="627" t="s">
        <v>307</v>
      </c>
      <c r="C24" s="592" t="s">
        <v>305</v>
      </c>
      <c r="D24" s="625"/>
      <c r="E24" s="593"/>
      <c r="F24" s="594">
        <v>0.121</v>
      </c>
      <c r="G24" s="594">
        <v>6.8000000000000005E-2</v>
      </c>
      <c r="H24" s="594">
        <v>3.7999999999999999E-2</v>
      </c>
      <c r="I24" s="595">
        <v>3</v>
      </c>
      <c r="J24" s="595">
        <f t="shared" si="0"/>
        <v>9.2460000000000006E-5</v>
      </c>
      <c r="K24" s="595">
        <v>1.4</v>
      </c>
      <c r="L24" s="595">
        <f t="shared" si="4"/>
        <v>1.2944399999999999E-4</v>
      </c>
      <c r="M24" s="596"/>
      <c r="N24" s="601"/>
      <c r="O24" s="601"/>
      <c r="P24" s="626">
        <f t="shared" si="5"/>
        <v>0</v>
      </c>
      <c r="R24" s="97">
        <v>4.5777600000000002E-4</v>
      </c>
      <c r="S24" s="600">
        <f t="shared" si="6"/>
        <v>0</v>
      </c>
    </row>
    <row r="25" spans="2:19" ht="14.25" thickBot="1">
      <c r="B25" s="100"/>
      <c r="C25" s="623" t="s">
        <v>305</v>
      </c>
      <c r="D25" s="628"/>
      <c r="E25" s="629"/>
      <c r="F25" s="594"/>
      <c r="G25" s="594"/>
      <c r="H25" s="594"/>
      <c r="I25" s="595">
        <v>3</v>
      </c>
      <c r="J25" s="595">
        <f t="shared" si="0"/>
        <v>0</v>
      </c>
      <c r="K25" s="595">
        <v>1.4</v>
      </c>
      <c r="L25" s="595">
        <f t="shared" si="4"/>
        <v>0</v>
      </c>
      <c r="M25" s="596"/>
      <c r="N25" s="601"/>
      <c r="O25" s="601"/>
      <c r="P25" s="630">
        <f t="shared" si="5"/>
        <v>0</v>
      </c>
      <c r="R25" s="97"/>
      <c r="S25" s="600"/>
    </row>
    <row r="26" spans="2:19" ht="15" thickTop="1" thickBot="1">
      <c r="B26" s="631" t="s">
        <v>308</v>
      </c>
      <c r="C26" s="632"/>
      <c r="D26" s="632"/>
      <c r="E26" s="632"/>
      <c r="F26" s="633"/>
      <c r="G26" s="633"/>
      <c r="H26" s="633"/>
      <c r="I26" s="633"/>
      <c r="J26" s="633"/>
      <c r="K26" s="633"/>
      <c r="L26" s="633"/>
      <c r="M26" s="634"/>
      <c r="N26" s="635">
        <f>SUM(N6:N25)</f>
        <v>0</v>
      </c>
      <c r="O26" s="635">
        <f>SUM(O6:O25)</f>
        <v>0</v>
      </c>
      <c r="P26" s="636">
        <f>SUM(P6:P25)</f>
        <v>0</v>
      </c>
      <c r="R26" s="97"/>
      <c r="S26" s="600"/>
    </row>
    <row r="27" spans="2:19" ht="27">
      <c r="B27" s="556" t="s">
        <v>25</v>
      </c>
      <c r="C27" s="566" t="s">
        <v>283</v>
      </c>
      <c r="D27" s="558" t="s">
        <v>284</v>
      </c>
      <c r="E27" s="558" t="s">
        <v>285</v>
      </c>
      <c r="F27" s="567" t="s">
        <v>286</v>
      </c>
      <c r="G27" s="567" t="s">
        <v>287</v>
      </c>
      <c r="H27" s="568" t="s">
        <v>288</v>
      </c>
      <c r="I27" s="559" t="s">
        <v>289</v>
      </c>
      <c r="J27" s="559" t="s">
        <v>290</v>
      </c>
      <c r="K27" s="559" t="s">
        <v>79</v>
      </c>
      <c r="L27" s="557" t="s">
        <v>291</v>
      </c>
      <c r="M27" s="557" t="s">
        <v>80</v>
      </c>
      <c r="N27" s="637" t="s">
        <v>292</v>
      </c>
      <c r="O27" s="638"/>
      <c r="P27" s="639" t="s">
        <v>293</v>
      </c>
      <c r="R27" s="97"/>
      <c r="S27" s="600"/>
    </row>
    <row r="28" spans="2:19" ht="27.75" thickBot="1">
      <c r="B28" s="572"/>
      <c r="C28" s="573"/>
      <c r="D28" s="574"/>
      <c r="E28" s="574"/>
      <c r="F28" s="575" t="s">
        <v>294</v>
      </c>
      <c r="G28" s="575" t="s">
        <v>294</v>
      </c>
      <c r="H28" s="575" t="s">
        <v>294</v>
      </c>
      <c r="I28" s="575" t="s">
        <v>295</v>
      </c>
      <c r="J28" s="575" t="s">
        <v>296</v>
      </c>
      <c r="K28" s="575" t="s">
        <v>297</v>
      </c>
      <c r="L28" s="576" t="s">
        <v>91</v>
      </c>
      <c r="M28" s="576" t="s">
        <v>280</v>
      </c>
      <c r="N28" s="640" t="s">
        <v>298</v>
      </c>
      <c r="O28" s="641" t="s">
        <v>299</v>
      </c>
      <c r="P28" s="642" t="s">
        <v>300</v>
      </c>
      <c r="R28" s="97"/>
      <c r="S28" s="600"/>
    </row>
    <row r="29" spans="2:19">
      <c r="B29" s="643"/>
      <c r="C29" s="644" t="s">
        <v>281</v>
      </c>
      <c r="D29" s="645"/>
      <c r="E29" s="645"/>
      <c r="F29" s="616"/>
      <c r="G29" s="616"/>
      <c r="H29" s="616"/>
      <c r="I29" s="617">
        <v>1.6</v>
      </c>
      <c r="J29" s="617">
        <f>(F29*G29*2+(F29*2+G29*2)*H29)*I29/1000</f>
        <v>0</v>
      </c>
      <c r="K29" s="617">
        <v>7.85</v>
      </c>
      <c r="L29" s="618">
        <f>J29*K29*1000</f>
        <v>0</v>
      </c>
      <c r="M29" s="619"/>
      <c r="N29" s="620">
        <f>L29*M29</f>
        <v>0</v>
      </c>
      <c r="O29" s="621"/>
      <c r="P29" s="622"/>
      <c r="R29" s="97"/>
      <c r="S29" s="600"/>
    </row>
    <row r="30" spans="2:19">
      <c r="B30" s="646"/>
      <c r="C30" s="647" t="s">
        <v>309</v>
      </c>
      <c r="D30" s="648"/>
      <c r="E30" s="648"/>
      <c r="F30" s="649"/>
      <c r="G30" s="649"/>
      <c r="H30" s="649"/>
      <c r="I30" s="650" t="s">
        <v>164</v>
      </c>
      <c r="J30" s="650" t="s">
        <v>164</v>
      </c>
      <c r="K30" s="650" t="s">
        <v>164</v>
      </c>
      <c r="L30" s="650" t="s">
        <v>164</v>
      </c>
      <c r="M30" s="651"/>
      <c r="N30" s="652"/>
      <c r="O30" s="653" t="s">
        <v>164</v>
      </c>
      <c r="P30" s="654">
        <f>SUM(D30+E30)*0.1*M29</f>
        <v>0</v>
      </c>
      <c r="R30" s="97">
        <f>0.032*0.07*0.036</f>
        <v>8.064E-5</v>
      </c>
      <c r="S30" s="600"/>
    </row>
    <row r="31" spans="2:19">
      <c r="B31" s="655"/>
      <c r="C31" s="656" t="s">
        <v>310</v>
      </c>
      <c r="D31" s="657"/>
      <c r="E31" s="657"/>
      <c r="F31" s="658"/>
      <c r="G31" s="658"/>
      <c r="H31" s="658"/>
      <c r="I31" s="595" t="s">
        <v>164</v>
      </c>
      <c r="J31" s="595" t="s">
        <v>164</v>
      </c>
      <c r="K31" s="595" t="str">
        <f>K30</f>
        <v>　</v>
      </c>
      <c r="L31" s="595" t="s">
        <v>164</v>
      </c>
      <c r="M31" s="659"/>
      <c r="N31" s="597"/>
      <c r="O31" s="601" t="s">
        <v>164</v>
      </c>
      <c r="P31" s="660">
        <f>SUM(D31+E31)*0.5*M29</f>
        <v>0</v>
      </c>
      <c r="R31" s="97">
        <f>0.075*0.13*0.068</f>
        <v>6.6300000000000007E-4</v>
      </c>
      <c r="S31" s="600"/>
    </row>
    <row r="32" spans="2:19">
      <c r="B32" s="661"/>
      <c r="C32" s="656" t="s">
        <v>311</v>
      </c>
      <c r="D32" s="657"/>
      <c r="E32" s="657"/>
      <c r="F32" s="658"/>
      <c r="G32" s="658"/>
      <c r="H32" s="658"/>
      <c r="I32" s="595" t="s">
        <v>164</v>
      </c>
      <c r="J32" s="595" t="s">
        <v>164</v>
      </c>
      <c r="K32" s="595" t="s">
        <v>164</v>
      </c>
      <c r="L32" s="595" t="s">
        <v>164</v>
      </c>
      <c r="M32" s="659"/>
      <c r="N32" s="597"/>
      <c r="O32" s="601" t="s">
        <v>164</v>
      </c>
      <c r="P32" s="662">
        <f>SUM(D32+E32)*1.1*M29</f>
        <v>0</v>
      </c>
      <c r="R32" s="97">
        <f>0.105*0.165*0.068</f>
        <v>1.1781000000000001E-3</v>
      </c>
      <c r="S32" s="600">
        <f>(D32+E32)*R32</f>
        <v>0</v>
      </c>
    </row>
    <row r="33" spans="2:19">
      <c r="B33" s="643"/>
      <c r="C33" s="644" t="s">
        <v>281</v>
      </c>
      <c r="D33" s="645"/>
      <c r="E33" s="645"/>
      <c r="F33" s="616"/>
      <c r="G33" s="616"/>
      <c r="H33" s="616"/>
      <c r="I33" s="617">
        <v>1.6</v>
      </c>
      <c r="J33" s="617">
        <f>(F33*G33*2+(F33*2+G33*2)*H33)*I33/1000</f>
        <v>0</v>
      </c>
      <c r="K33" s="617">
        <v>7.85</v>
      </c>
      <c r="L33" s="618">
        <f>J33*K33*1000</f>
        <v>0</v>
      </c>
      <c r="M33" s="619"/>
      <c r="N33" s="620">
        <f>L33*M33</f>
        <v>0</v>
      </c>
      <c r="O33" s="621"/>
      <c r="P33" s="622"/>
      <c r="R33" s="97"/>
      <c r="S33" s="600"/>
    </row>
    <row r="34" spans="2:19">
      <c r="B34" s="646"/>
      <c r="C34" s="647" t="s">
        <v>309</v>
      </c>
      <c r="D34" s="648"/>
      <c r="E34" s="648"/>
      <c r="F34" s="649"/>
      <c r="G34" s="649"/>
      <c r="H34" s="649"/>
      <c r="I34" s="650" t="s">
        <v>164</v>
      </c>
      <c r="J34" s="650" t="s">
        <v>164</v>
      </c>
      <c r="K34" s="650" t="s">
        <v>164</v>
      </c>
      <c r="L34" s="650" t="s">
        <v>164</v>
      </c>
      <c r="M34" s="651"/>
      <c r="N34" s="652"/>
      <c r="O34" s="653" t="s">
        <v>164</v>
      </c>
      <c r="P34" s="654">
        <f>SUM(D34+E34)*0.1*M33</f>
        <v>0</v>
      </c>
      <c r="R34" s="97">
        <f>0.032*0.07*0.036</f>
        <v>8.064E-5</v>
      </c>
      <c r="S34" s="600">
        <f>(D34+E34)*R34</f>
        <v>0</v>
      </c>
    </row>
    <row r="35" spans="2:19">
      <c r="B35" s="655"/>
      <c r="C35" s="656" t="s">
        <v>310</v>
      </c>
      <c r="D35" s="657"/>
      <c r="E35" s="657"/>
      <c r="F35" s="658" t="s">
        <v>164</v>
      </c>
      <c r="G35" s="658" t="s">
        <v>164</v>
      </c>
      <c r="H35" s="658" t="s">
        <v>164</v>
      </c>
      <c r="I35" s="595" t="s">
        <v>164</v>
      </c>
      <c r="J35" s="595" t="s">
        <v>164</v>
      </c>
      <c r="K35" s="595" t="str">
        <f>K34</f>
        <v>　</v>
      </c>
      <c r="L35" s="595" t="s">
        <v>164</v>
      </c>
      <c r="M35" s="659" t="s">
        <v>164</v>
      </c>
      <c r="N35" s="597"/>
      <c r="O35" s="601" t="s">
        <v>164</v>
      </c>
      <c r="P35" s="660">
        <f>SUM(D35+E35)*0.5*M33</f>
        <v>0</v>
      </c>
      <c r="R35" s="97">
        <f>0.075*0.13*0.068</f>
        <v>6.6300000000000007E-4</v>
      </c>
      <c r="S35" s="600"/>
    </row>
    <row r="36" spans="2:19">
      <c r="B36" s="661"/>
      <c r="C36" s="656" t="s">
        <v>311</v>
      </c>
      <c r="D36" s="657"/>
      <c r="E36" s="657"/>
      <c r="F36" s="658"/>
      <c r="G36" s="658"/>
      <c r="H36" s="658"/>
      <c r="I36" s="595" t="s">
        <v>164</v>
      </c>
      <c r="J36" s="595" t="s">
        <v>164</v>
      </c>
      <c r="K36" s="595" t="s">
        <v>164</v>
      </c>
      <c r="L36" s="595" t="s">
        <v>164</v>
      </c>
      <c r="M36" s="659" t="s">
        <v>164</v>
      </c>
      <c r="N36" s="597"/>
      <c r="O36" s="601" t="s">
        <v>164</v>
      </c>
      <c r="P36" s="662">
        <f>SUM(D36+E36)*1.1*M33</f>
        <v>0</v>
      </c>
      <c r="R36" s="97">
        <f>0.105*0.165*0.068</f>
        <v>1.1781000000000001E-3</v>
      </c>
      <c r="S36" s="600"/>
    </row>
    <row r="37" spans="2:19">
      <c r="B37" s="562"/>
      <c r="C37" s="663"/>
      <c r="D37" s="664"/>
      <c r="E37" s="664"/>
      <c r="F37" s="665"/>
      <c r="G37" s="665"/>
      <c r="H37" s="665"/>
      <c r="I37" s="666"/>
      <c r="J37" s="666"/>
      <c r="K37" s="666"/>
      <c r="L37" s="666"/>
      <c r="M37" s="667"/>
      <c r="N37" s="668"/>
      <c r="O37" s="669"/>
      <c r="P37" s="670"/>
      <c r="R37" s="97"/>
      <c r="S37" s="600"/>
    </row>
    <row r="38" spans="2:19">
      <c r="B38" s="671"/>
      <c r="C38" s="672" t="s">
        <v>312</v>
      </c>
      <c r="D38" s="673"/>
      <c r="E38" s="673"/>
      <c r="F38" s="674"/>
      <c r="G38" s="674"/>
      <c r="H38" s="674"/>
      <c r="I38" s="675">
        <v>2</v>
      </c>
      <c r="J38" s="675">
        <f>(F38*G38*2+(F38*2+G38*2)*H38)*I38/1000</f>
        <v>0</v>
      </c>
      <c r="K38" s="675">
        <v>1.4</v>
      </c>
      <c r="L38" s="675">
        <f>J38*K38*1000</f>
        <v>0</v>
      </c>
      <c r="M38" s="676"/>
      <c r="N38" s="677"/>
      <c r="O38" s="563" t="s">
        <v>164</v>
      </c>
      <c r="P38" s="678">
        <f>L38*M38</f>
        <v>0</v>
      </c>
      <c r="R38" s="97"/>
      <c r="S38" s="600"/>
    </row>
    <row r="39" spans="2:19">
      <c r="B39" s="646"/>
      <c r="C39" s="647" t="s">
        <v>309</v>
      </c>
      <c r="D39" s="648">
        <v>1</v>
      </c>
      <c r="E39" s="648">
        <v>3</v>
      </c>
      <c r="F39" s="649"/>
      <c r="G39" s="649"/>
      <c r="H39" s="649"/>
      <c r="I39" s="650" t="s">
        <v>164</v>
      </c>
      <c r="J39" s="650" t="s">
        <v>164</v>
      </c>
      <c r="K39" s="650" t="s">
        <v>164</v>
      </c>
      <c r="L39" s="650" t="s">
        <v>164</v>
      </c>
      <c r="M39" s="651"/>
      <c r="N39" s="652"/>
      <c r="O39" s="653" t="s">
        <v>164</v>
      </c>
      <c r="P39" s="654">
        <f>SUM(D39+E39)*0.1*M38</f>
        <v>0</v>
      </c>
      <c r="R39" s="97">
        <f>0.032*0.07*0.036</f>
        <v>8.064E-5</v>
      </c>
      <c r="S39" s="600">
        <f>(D39+E39)*R39</f>
        <v>3.2256E-4</v>
      </c>
    </row>
    <row r="40" spans="2:19">
      <c r="B40" s="655"/>
      <c r="C40" s="656" t="s">
        <v>310</v>
      </c>
      <c r="D40" s="657"/>
      <c r="E40" s="657"/>
      <c r="F40" s="658"/>
      <c r="G40" s="658"/>
      <c r="H40" s="658"/>
      <c r="I40" s="595" t="s">
        <v>164</v>
      </c>
      <c r="J40" s="595" t="s">
        <v>164</v>
      </c>
      <c r="K40" s="595" t="str">
        <f>K39</f>
        <v>　</v>
      </c>
      <c r="L40" s="595" t="s">
        <v>164</v>
      </c>
      <c r="M40" s="659"/>
      <c r="N40" s="597"/>
      <c r="O40" s="601" t="s">
        <v>164</v>
      </c>
      <c r="P40" s="660">
        <f>SUM(D40+E40)*0.5*M38</f>
        <v>0</v>
      </c>
      <c r="R40" s="97">
        <f>0.075*0.13*0.068</f>
        <v>6.6300000000000007E-4</v>
      </c>
      <c r="S40" s="600"/>
    </row>
    <row r="41" spans="2:19">
      <c r="B41" s="661"/>
      <c r="C41" s="656" t="s">
        <v>311</v>
      </c>
      <c r="D41" s="657"/>
      <c r="E41" s="657"/>
      <c r="F41" s="658"/>
      <c r="G41" s="658"/>
      <c r="H41" s="658"/>
      <c r="I41" s="595" t="s">
        <v>164</v>
      </c>
      <c r="J41" s="595" t="s">
        <v>164</v>
      </c>
      <c r="K41" s="595" t="s">
        <v>164</v>
      </c>
      <c r="L41" s="595" t="s">
        <v>164</v>
      </c>
      <c r="M41" s="659"/>
      <c r="N41" s="597"/>
      <c r="O41" s="601" t="s">
        <v>164</v>
      </c>
      <c r="P41" s="662">
        <f>SUM(D41+E41)*1.1*M38</f>
        <v>0</v>
      </c>
      <c r="R41" s="97">
        <f>0.105*0.165*0.068</f>
        <v>1.1781000000000001E-3</v>
      </c>
      <c r="S41" s="600"/>
    </row>
    <row r="42" spans="2:19">
      <c r="B42" s="679"/>
      <c r="C42" s="644" t="s">
        <v>281</v>
      </c>
      <c r="D42" s="645"/>
      <c r="E42" s="645"/>
      <c r="F42" s="616"/>
      <c r="G42" s="616"/>
      <c r="H42" s="616"/>
      <c r="I42" s="617">
        <v>1.6</v>
      </c>
      <c r="J42" s="617">
        <f>(F42*G42*2+(F42*2+G42*2)*H42)*I42/1000</f>
        <v>0</v>
      </c>
      <c r="K42" s="617">
        <v>7.85</v>
      </c>
      <c r="L42" s="618">
        <f>J42*K42*1000</f>
        <v>0</v>
      </c>
      <c r="M42" s="619"/>
      <c r="N42" s="620">
        <f>L42*M42</f>
        <v>0</v>
      </c>
      <c r="O42" s="621"/>
      <c r="P42" s="622"/>
      <c r="R42" s="97"/>
      <c r="S42" s="600"/>
    </row>
    <row r="43" spans="2:19">
      <c r="B43" s="646"/>
      <c r="C43" s="647" t="s">
        <v>309</v>
      </c>
      <c r="D43" s="648"/>
      <c r="E43" s="648">
        <v>1</v>
      </c>
      <c r="F43" s="649"/>
      <c r="G43" s="649"/>
      <c r="H43" s="649"/>
      <c r="I43" s="650" t="s">
        <v>164</v>
      </c>
      <c r="J43" s="650" t="s">
        <v>164</v>
      </c>
      <c r="K43" s="650" t="s">
        <v>164</v>
      </c>
      <c r="L43" s="650" t="s">
        <v>164</v>
      </c>
      <c r="M43" s="651"/>
      <c r="N43" s="652"/>
      <c r="O43" s="653" t="s">
        <v>164</v>
      </c>
      <c r="P43" s="654">
        <f>SUM(D43+E43)*0.1*M42</f>
        <v>0</v>
      </c>
      <c r="R43" s="97">
        <f>0.032*0.07*0.036</f>
        <v>8.064E-5</v>
      </c>
      <c r="S43" s="600">
        <f>(D43+E43)*R43</f>
        <v>8.064E-5</v>
      </c>
    </row>
    <row r="44" spans="2:19">
      <c r="B44" s="655"/>
      <c r="C44" s="656" t="s">
        <v>310</v>
      </c>
      <c r="D44" s="657"/>
      <c r="E44" s="657"/>
      <c r="F44" s="658"/>
      <c r="G44" s="658"/>
      <c r="H44" s="658"/>
      <c r="I44" s="595" t="s">
        <v>164</v>
      </c>
      <c r="J44" s="595" t="s">
        <v>164</v>
      </c>
      <c r="K44" s="595" t="str">
        <f>K43</f>
        <v>　</v>
      </c>
      <c r="L44" s="595" t="s">
        <v>164</v>
      </c>
      <c r="M44" s="659"/>
      <c r="N44" s="597"/>
      <c r="O44" s="601" t="s">
        <v>164</v>
      </c>
      <c r="P44" s="660">
        <f>SUM(D44+E44)*0.5*M42</f>
        <v>0</v>
      </c>
      <c r="R44" s="97">
        <f>0.075*0.13*0.068</f>
        <v>6.6300000000000007E-4</v>
      </c>
      <c r="S44" s="600"/>
    </row>
    <row r="45" spans="2:19">
      <c r="B45" s="661"/>
      <c r="C45" s="656" t="s">
        <v>311</v>
      </c>
      <c r="D45" s="657"/>
      <c r="E45" s="657"/>
      <c r="F45" s="658"/>
      <c r="G45" s="658"/>
      <c r="H45" s="658"/>
      <c r="I45" s="595" t="s">
        <v>164</v>
      </c>
      <c r="J45" s="595" t="s">
        <v>164</v>
      </c>
      <c r="K45" s="595" t="s">
        <v>164</v>
      </c>
      <c r="L45" s="595" t="s">
        <v>164</v>
      </c>
      <c r="M45" s="659"/>
      <c r="N45" s="597"/>
      <c r="O45" s="601" t="s">
        <v>164</v>
      </c>
      <c r="P45" s="662">
        <f>SUM(D45+E45)*1.1*M42</f>
        <v>0</v>
      </c>
      <c r="R45" s="97">
        <f>0.105*0.165*0.068</f>
        <v>1.1781000000000001E-3</v>
      </c>
      <c r="S45" s="600"/>
    </row>
    <row r="46" spans="2:19">
      <c r="B46" s="643"/>
      <c r="C46" s="644" t="s">
        <v>281</v>
      </c>
      <c r="D46" s="645"/>
      <c r="E46" s="645"/>
      <c r="F46" s="616"/>
      <c r="G46" s="616"/>
      <c r="H46" s="616"/>
      <c r="I46" s="617">
        <v>1.6</v>
      </c>
      <c r="J46" s="617">
        <f>(F46*G46*2+(F46*2+G46*2)*H46)*I46/1000</f>
        <v>0</v>
      </c>
      <c r="K46" s="617">
        <v>7.85</v>
      </c>
      <c r="L46" s="618">
        <f>J46*K46*1000</f>
        <v>0</v>
      </c>
      <c r="M46" s="619"/>
      <c r="N46" s="620">
        <f>L46*M46</f>
        <v>0</v>
      </c>
      <c r="O46" s="621"/>
      <c r="P46" s="622"/>
      <c r="R46" s="97"/>
      <c r="S46" s="600"/>
    </row>
    <row r="47" spans="2:19">
      <c r="B47" s="646"/>
      <c r="C47" s="647" t="s">
        <v>309</v>
      </c>
      <c r="D47" s="648"/>
      <c r="E47" s="648"/>
      <c r="F47" s="649"/>
      <c r="G47" s="649"/>
      <c r="H47" s="649"/>
      <c r="I47" s="650" t="s">
        <v>164</v>
      </c>
      <c r="J47" s="650" t="s">
        <v>164</v>
      </c>
      <c r="K47" s="650" t="s">
        <v>164</v>
      </c>
      <c r="L47" s="650" t="s">
        <v>164</v>
      </c>
      <c r="M47" s="651"/>
      <c r="N47" s="652"/>
      <c r="O47" s="653" t="s">
        <v>164</v>
      </c>
      <c r="P47" s="654">
        <f>SUM(D47+E47)*0.1*M46</f>
        <v>0</v>
      </c>
      <c r="R47" s="97">
        <f>0.032*0.07*0.036</f>
        <v>8.064E-5</v>
      </c>
      <c r="S47" s="600"/>
    </row>
    <row r="48" spans="2:19">
      <c r="B48" s="655"/>
      <c r="C48" s="656" t="s">
        <v>310</v>
      </c>
      <c r="D48" s="657"/>
      <c r="E48" s="657"/>
      <c r="F48" s="658"/>
      <c r="G48" s="658"/>
      <c r="H48" s="658"/>
      <c r="I48" s="595" t="s">
        <v>164</v>
      </c>
      <c r="J48" s="595" t="s">
        <v>164</v>
      </c>
      <c r="K48" s="595" t="str">
        <f>K47</f>
        <v>　</v>
      </c>
      <c r="L48" s="595" t="s">
        <v>164</v>
      </c>
      <c r="M48" s="659"/>
      <c r="N48" s="597"/>
      <c r="O48" s="601" t="s">
        <v>164</v>
      </c>
      <c r="P48" s="660">
        <f>SUM(D48+E48)*0.5*M46</f>
        <v>0</v>
      </c>
      <c r="R48" s="97">
        <f>0.075*0.13*0.068</f>
        <v>6.6300000000000007E-4</v>
      </c>
      <c r="S48" s="600"/>
    </row>
    <row r="49" spans="2:19">
      <c r="B49" s="661"/>
      <c r="C49" s="656" t="s">
        <v>311</v>
      </c>
      <c r="D49" s="657"/>
      <c r="E49" s="657"/>
      <c r="F49" s="658"/>
      <c r="G49" s="658"/>
      <c r="H49" s="658"/>
      <c r="I49" s="595" t="s">
        <v>164</v>
      </c>
      <c r="J49" s="595" t="s">
        <v>164</v>
      </c>
      <c r="K49" s="595" t="s">
        <v>164</v>
      </c>
      <c r="L49" s="595" t="s">
        <v>164</v>
      </c>
      <c r="M49" s="659"/>
      <c r="N49" s="597"/>
      <c r="O49" s="601" t="s">
        <v>164</v>
      </c>
      <c r="P49" s="662">
        <f>SUM(D49+E49)*1.1*M46</f>
        <v>0</v>
      </c>
      <c r="R49" s="97">
        <f>0.105*0.165*0.068</f>
        <v>1.1781000000000001E-3</v>
      </c>
      <c r="S49" s="600"/>
    </row>
    <row r="50" spans="2:19">
      <c r="B50" s="680"/>
      <c r="C50" s="644" t="s">
        <v>281</v>
      </c>
      <c r="D50" s="645"/>
      <c r="E50" s="645"/>
      <c r="F50" s="616"/>
      <c r="G50" s="616"/>
      <c r="H50" s="616"/>
      <c r="I50" s="617">
        <v>1.6</v>
      </c>
      <c r="J50" s="617">
        <f>(F50*G50*2+(F50*2+G50*2)*H50)*I50/1000</f>
        <v>0</v>
      </c>
      <c r="K50" s="617">
        <v>7.85</v>
      </c>
      <c r="L50" s="618">
        <f>J50*K50*1000</f>
        <v>0</v>
      </c>
      <c r="M50" s="619"/>
      <c r="N50" s="620">
        <f>L50*M50</f>
        <v>0</v>
      </c>
      <c r="O50" s="621"/>
      <c r="P50" s="622"/>
      <c r="R50" s="97"/>
      <c r="S50" s="600"/>
    </row>
    <row r="51" spans="2:19">
      <c r="B51" s="646"/>
      <c r="C51" s="647" t="s">
        <v>309</v>
      </c>
      <c r="D51" s="648"/>
      <c r="E51" s="648"/>
      <c r="F51" s="649"/>
      <c r="G51" s="649"/>
      <c r="H51" s="649"/>
      <c r="I51" s="650" t="s">
        <v>164</v>
      </c>
      <c r="J51" s="650" t="s">
        <v>164</v>
      </c>
      <c r="K51" s="650" t="s">
        <v>164</v>
      </c>
      <c r="L51" s="650" t="s">
        <v>164</v>
      </c>
      <c r="M51" s="651"/>
      <c r="N51" s="652"/>
      <c r="O51" s="653" t="s">
        <v>164</v>
      </c>
      <c r="P51" s="654">
        <f>SUM(D51+E51)*0.1*M50</f>
        <v>0</v>
      </c>
      <c r="R51" s="97">
        <f>0.032*0.07*0.036</f>
        <v>8.064E-5</v>
      </c>
      <c r="S51" s="600"/>
    </row>
    <row r="52" spans="2:19">
      <c r="B52" s="655"/>
      <c r="C52" s="656" t="s">
        <v>310</v>
      </c>
      <c r="D52" s="657"/>
      <c r="E52" s="657"/>
      <c r="F52" s="658"/>
      <c r="G52" s="658"/>
      <c r="H52" s="658"/>
      <c r="I52" s="595" t="s">
        <v>164</v>
      </c>
      <c r="J52" s="595" t="s">
        <v>164</v>
      </c>
      <c r="K52" s="595" t="str">
        <f>K51</f>
        <v>　</v>
      </c>
      <c r="L52" s="595" t="s">
        <v>164</v>
      </c>
      <c r="M52" s="659"/>
      <c r="N52" s="597"/>
      <c r="O52" s="601" t="s">
        <v>164</v>
      </c>
      <c r="P52" s="660">
        <f>SUM(D52+E52)*0.5*M50</f>
        <v>0</v>
      </c>
      <c r="R52" s="97">
        <f>0.075*0.13*0.068</f>
        <v>6.6300000000000007E-4</v>
      </c>
      <c r="S52" s="600"/>
    </row>
    <row r="53" spans="2:19">
      <c r="B53" s="661"/>
      <c r="C53" s="656" t="s">
        <v>311</v>
      </c>
      <c r="D53" s="657"/>
      <c r="E53" s="657"/>
      <c r="F53" s="658"/>
      <c r="G53" s="658"/>
      <c r="H53" s="658"/>
      <c r="I53" s="595" t="s">
        <v>164</v>
      </c>
      <c r="J53" s="595" t="s">
        <v>164</v>
      </c>
      <c r="K53" s="595" t="s">
        <v>164</v>
      </c>
      <c r="L53" s="595" t="s">
        <v>164</v>
      </c>
      <c r="M53" s="659"/>
      <c r="N53" s="597"/>
      <c r="O53" s="601" t="s">
        <v>164</v>
      </c>
      <c r="P53" s="662">
        <f>SUM(D53+E53)*1.1*M50</f>
        <v>0</v>
      </c>
      <c r="R53" s="97">
        <f>0.105*0.165*0.068</f>
        <v>1.1781000000000001E-3</v>
      </c>
      <c r="S53" s="600"/>
    </row>
    <row r="54" spans="2:19">
      <c r="B54" s="679"/>
      <c r="C54" s="644" t="s">
        <v>281</v>
      </c>
      <c r="D54" s="645"/>
      <c r="E54" s="645"/>
      <c r="F54" s="616"/>
      <c r="G54" s="616"/>
      <c r="H54" s="616"/>
      <c r="I54" s="617">
        <v>1.6</v>
      </c>
      <c r="J54" s="617">
        <f>(F54*G54*2+(F54*2+G54*2)*H54)*I54/1000</f>
        <v>0</v>
      </c>
      <c r="K54" s="617">
        <v>7.85</v>
      </c>
      <c r="L54" s="618">
        <f>J54*K54*1000</f>
        <v>0</v>
      </c>
      <c r="M54" s="619"/>
      <c r="N54" s="620">
        <f>L54*M54</f>
        <v>0</v>
      </c>
      <c r="O54" s="621"/>
      <c r="P54" s="622"/>
      <c r="R54" s="97"/>
      <c r="S54" s="600"/>
    </row>
    <row r="55" spans="2:19">
      <c r="B55" s="646"/>
      <c r="C55" s="647" t="s">
        <v>309</v>
      </c>
      <c r="D55" s="648"/>
      <c r="E55" s="648"/>
      <c r="F55" s="649"/>
      <c r="G55" s="649"/>
      <c r="H55" s="649"/>
      <c r="I55" s="650" t="s">
        <v>164</v>
      </c>
      <c r="J55" s="650" t="s">
        <v>164</v>
      </c>
      <c r="K55" s="650" t="s">
        <v>164</v>
      </c>
      <c r="L55" s="650" t="s">
        <v>164</v>
      </c>
      <c r="M55" s="651"/>
      <c r="N55" s="652"/>
      <c r="O55" s="653" t="s">
        <v>164</v>
      </c>
      <c r="P55" s="654">
        <f>SUM(D55+E55)*0.1*M54</f>
        <v>0</v>
      </c>
      <c r="R55" s="97">
        <f>0.032*0.07*0.036</f>
        <v>8.064E-5</v>
      </c>
      <c r="S55" s="600">
        <f>(D55+E55)*R55</f>
        <v>0</v>
      </c>
    </row>
    <row r="56" spans="2:19">
      <c r="B56" s="655"/>
      <c r="C56" s="656" t="s">
        <v>310</v>
      </c>
      <c r="D56" s="657"/>
      <c r="E56" s="657"/>
      <c r="F56" s="658"/>
      <c r="G56" s="658"/>
      <c r="H56" s="658"/>
      <c r="I56" s="595" t="s">
        <v>164</v>
      </c>
      <c r="J56" s="595" t="s">
        <v>164</v>
      </c>
      <c r="K56" s="595" t="str">
        <f>K55</f>
        <v>　</v>
      </c>
      <c r="L56" s="595" t="s">
        <v>164</v>
      </c>
      <c r="M56" s="659"/>
      <c r="N56" s="597"/>
      <c r="O56" s="601" t="s">
        <v>164</v>
      </c>
      <c r="P56" s="660">
        <f>SUM(D56+E56)*0.5*M54</f>
        <v>0</v>
      </c>
      <c r="R56" s="97">
        <f>0.075*0.13*0.068</f>
        <v>6.6300000000000007E-4</v>
      </c>
      <c r="S56" s="600"/>
    </row>
    <row r="57" spans="2:19">
      <c r="B57" s="661"/>
      <c r="C57" s="656" t="s">
        <v>311</v>
      </c>
      <c r="D57" s="657"/>
      <c r="E57" s="657"/>
      <c r="F57" s="658"/>
      <c r="G57" s="658"/>
      <c r="H57" s="658"/>
      <c r="I57" s="595" t="s">
        <v>164</v>
      </c>
      <c r="J57" s="595" t="s">
        <v>164</v>
      </c>
      <c r="K57" s="595" t="s">
        <v>164</v>
      </c>
      <c r="L57" s="595" t="s">
        <v>164</v>
      </c>
      <c r="M57" s="659"/>
      <c r="N57" s="597"/>
      <c r="O57" s="601" t="s">
        <v>164</v>
      </c>
      <c r="P57" s="662">
        <f>SUM(D57+E57)*1.1*M54</f>
        <v>0</v>
      </c>
      <c r="R57" s="97">
        <f>0.105*0.165*0.068</f>
        <v>1.1781000000000001E-3</v>
      </c>
      <c r="S57" s="600"/>
    </row>
    <row r="58" spans="2:19">
      <c r="B58" s="643"/>
      <c r="C58" s="644" t="s">
        <v>281</v>
      </c>
      <c r="D58" s="645"/>
      <c r="E58" s="645"/>
      <c r="F58" s="616"/>
      <c r="G58" s="616"/>
      <c r="H58" s="616"/>
      <c r="I58" s="617">
        <v>1.6</v>
      </c>
      <c r="J58" s="617">
        <f>(F58*G58*2+(F58*2+G58*2)*H58)*I58/1000</f>
        <v>0</v>
      </c>
      <c r="K58" s="617">
        <v>7.85</v>
      </c>
      <c r="L58" s="618">
        <f>J58*K58*1000</f>
        <v>0</v>
      </c>
      <c r="M58" s="619"/>
      <c r="N58" s="620">
        <f>L58*M58</f>
        <v>0</v>
      </c>
      <c r="O58" s="621"/>
      <c r="P58" s="622"/>
      <c r="R58" s="97"/>
      <c r="S58" s="600"/>
    </row>
    <row r="59" spans="2:19">
      <c r="B59" s="646" t="s">
        <v>164</v>
      </c>
      <c r="C59" s="647" t="s">
        <v>309</v>
      </c>
      <c r="D59" s="648"/>
      <c r="E59" s="648"/>
      <c r="F59" s="649" t="s">
        <v>164</v>
      </c>
      <c r="G59" s="649" t="s">
        <v>164</v>
      </c>
      <c r="H59" s="649" t="s">
        <v>164</v>
      </c>
      <c r="I59" s="650" t="s">
        <v>164</v>
      </c>
      <c r="J59" s="650" t="s">
        <v>164</v>
      </c>
      <c r="K59" s="650" t="s">
        <v>164</v>
      </c>
      <c r="L59" s="650" t="s">
        <v>164</v>
      </c>
      <c r="M59" s="651"/>
      <c r="N59" s="652"/>
      <c r="O59" s="653" t="s">
        <v>164</v>
      </c>
      <c r="P59" s="654">
        <f>SUM(D59+E59)*0.1*M58</f>
        <v>0</v>
      </c>
      <c r="R59" s="97">
        <f>0.032*0.07*0.036</f>
        <v>8.064E-5</v>
      </c>
      <c r="S59" s="600"/>
    </row>
    <row r="60" spans="2:19">
      <c r="B60" s="655" t="s">
        <v>164</v>
      </c>
      <c r="C60" s="656" t="s">
        <v>310</v>
      </c>
      <c r="D60" s="657"/>
      <c r="E60" s="657"/>
      <c r="F60" s="658" t="s">
        <v>164</v>
      </c>
      <c r="G60" s="658" t="s">
        <v>164</v>
      </c>
      <c r="H60" s="658" t="s">
        <v>164</v>
      </c>
      <c r="I60" s="595" t="s">
        <v>164</v>
      </c>
      <c r="J60" s="595" t="s">
        <v>164</v>
      </c>
      <c r="K60" s="595" t="str">
        <f>K59</f>
        <v>　</v>
      </c>
      <c r="L60" s="595" t="s">
        <v>164</v>
      </c>
      <c r="M60" s="659"/>
      <c r="N60" s="597"/>
      <c r="O60" s="601" t="s">
        <v>164</v>
      </c>
      <c r="P60" s="660">
        <f>SUM(D60+E60)*0.5*M58</f>
        <v>0</v>
      </c>
      <c r="R60" s="97">
        <f>0.075*0.13*0.068</f>
        <v>6.6300000000000007E-4</v>
      </c>
      <c r="S60" s="600">
        <f>(D60+E60)*R60</f>
        <v>0</v>
      </c>
    </row>
    <row r="61" spans="2:19">
      <c r="B61" s="603" t="s">
        <v>164</v>
      </c>
      <c r="C61" s="681" t="s">
        <v>311</v>
      </c>
      <c r="D61" s="682"/>
      <c r="E61" s="682"/>
      <c r="F61" s="683"/>
      <c r="G61" s="683"/>
      <c r="H61" s="683"/>
      <c r="I61" s="607" t="s">
        <v>164</v>
      </c>
      <c r="J61" s="607" t="s">
        <v>164</v>
      </c>
      <c r="K61" s="607" t="s">
        <v>164</v>
      </c>
      <c r="L61" s="607" t="s">
        <v>164</v>
      </c>
      <c r="M61" s="684"/>
      <c r="N61" s="685"/>
      <c r="O61" s="611" t="s">
        <v>164</v>
      </c>
      <c r="P61" s="662">
        <f>SUM(D61+E61)*1.1*M58</f>
        <v>0</v>
      </c>
      <c r="R61" s="97">
        <f>0.105*0.165*0.068</f>
        <v>1.1781000000000001E-3</v>
      </c>
      <c r="S61" s="600"/>
    </row>
    <row r="62" spans="2:19" ht="14.25" thickBot="1">
      <c r="B62" s="169" t="s">
        <v>308</v>
      </c>
      <c r="C62" s="686"/>
      <c r="D62" s="687"/>
      <c r="E62" s="687"/>
      <c r="F62" s="688"/>
      <c r="G62" s="688"/>
      <c r="H62" s="688"/>
      <c r="I62" s="689"/>
      <c r="J62" s="689"/>
      <c r="K62" s="689"/>
      <c r="L62" s="689"/>
      <c r="M62" s="690"/>
      <c r="N62" s="691">
        <f>SUM(N29:N61)</f>
        <v>0</v>
      </c>
      <c r="O62" s="691">
        <f>SUM(O29:O61)</f>
        <v>0</v>
      </c>
      <c r="P62" s="692">
        <f>SUM(P29:P61)</f>
        <v>0</v>
      </c>
      <c r="R62" s="97"/>
      <c r="S62" s="600"/>
    </row>
    <row r="63" spans="2:19" ht="27">
      <c r="B63" s="556" t="s">
        <v>25</v>
      </c>
      <c r="C63" s="566" t="s">
        <v>283</v>
      </c>
      <c r="D63" s="558" t="s">
        <v>284</v>
      </c>
      <c r="E63" s="558" t="s">
        <v>285</v>
      </c>
      <c r="F63" s="567" t="s">
        <v>286</v>
      </c>
      <c r="G63" s="567" t="s">
        <v>287</v>
      </c>
      <c r="H63" s="568" t="s">
        <v>288</v>
      </c>
      <c r="I63" s="559" t="s">
        <v>289</v>
      </c>
      <c r="J63" s="559" t="s">
        <v>290</v>
      </c>
      <c r="K63" s="559" t="s">
        <v>79</v>
      </c>
      <c r="L63" s="557" t="s">
        <v>291</v>
      </c>
      <c r="M63" s="557" t="s">
        <v>80</v>
      </c>
      <c r="N63" s="637" t="s">
        <v>292</v>
      </c>
      <c r="O63" s="638"/>
      <c r="P63" s="639" t="s">
        <v>293</v>
      </c>
      <c r="R63" s="97"/>
      <c r="S63" s="600"/>
    </row>
    <row r="64" spans="2:19" ht="27.75" thickBot="1">
      <c r="B64" s="572"/>
      <c r="C64" s="573"/>
      <c r="D64" s="574"/>
      <c r="E64" s="574"/>
      <c r="F64" s="575" t="s">
        <v>294</v>
      </c>
      <c r="G64" s="575" t="s">
        <v>294</v>
      </c>
      <c r="H64" s="575" t="s">
        <v>294</v>
      </c>
      <c r="I64" s="575" t="s">
        <v>295</v>
      </c>
      <c r="J64" s="575" t="s">
        <v>296</v>
      </c>
      <c r="K64" s="575" t="s">
        <v>297</v>
      </c>
      <c r="L64" s="576" t="s">
        <v>91</v>
      </c>
      <c r="M64" s="576" t="s">
        <v>280</v>
      </c>
      <c r="N64" s="640" t="s">
        <v>298</v>
      </c>
      <c r="O64" s="641" t="s">
        <v>299</v>
      </c>
      <c r="P64" s="642" t="s">
        <v>300</v>
      </c>
      <c r="R64" s="97"/>
      <c r="S64" s="600"/>
    </row>
    <row r="65" spans="2:19">
      <c r="B65" s="671"/>
      <c r="C65" s="672" t="s">
        <v>302</v>
      </c>
      <c r="D65" s="673"/>
      <c r="E65" s="673"/>
      <c r="F65" s="674"/>
      <c r="G65" s="674"/>
      <c r="H65" s="674"/>
      <c r="I65" s="675">
        <v>1.2</v>
      </c>
      <c r="J65" s="675">
        <f>(F65*G65*2+(F65*2+G65*2)*H65)*I65/1000</f>
        <v>0</v>
      </c>
      <c r="K65" s="675">
        <v>7.93</v>
      </c>
      <c r="L65" s="675">
        <f>J65*K65*1000</f>
        <v>0</v>
      </c>
      <c r="M65" s="676"/>
      <c r="N65" s="677"/>
      <c r="O65" s="693">
        <f>L65*M65</f>
        <v>0</v>
      </c>
      <c r="P65" s="694"/>
      <c r="R65" s="97"/>
      <c r="S65" s="600"/>
    </row>
    <row r="66" spans="2:19">
      <c r="B66" s="646"/>
      <c r="C66" s="647" t="s">
        <v>309</v>
      </c>
      <c r="D66" s="648"/>
      <c r="E66" s="648"/>
      <c r="F66" s="649"/>
      <c r="G66" s="649"/>
      <c r="H66" s="649"/>
      <c r="I66" s="650" t="s">
        <v>164</v>
      </c>
      <c r="J66" s="650" t="s">
        <v>164</v>
      </c>
      <c r="K66" s="650" t="s">
        <v>164</v>
      </c>
      <c r="L66" s="650" t="s">
        <v>164</v>
      </c>
      <c r="M66" s="651"/>
      <c r="N66" s="652"/>
      <c r="O66" s="653" t="s">
        <v>164</v>
      </c>
      <c r="P66" s="654">
        <f>SUM(D66+E66)*0.1*M65</f>
        <v>0</v>
      </c>
      <c r="R66" s="97">
        <f>0.032*0.07*0.036</f>
        <v>8.064E-5</v>
      </c>
      <c r="S66" s="600"/>
    </row>
    <row r="67" spans="2:19">
      <c r="B67" s="655"/>
      <c r="C67" s="656" t="s">
        <v>310</v>
      </c>
      <c r="D67" s="657"/>
      <c r="E67" s="657"/>
      <c r="F67" s="658"/>
      <c r="G67" s="658"/>
      <c r="H67" s="658"/>
      <c r="I67" s="595" t="s">
        <v>164</v>
      </c>
      <c r="J67" s="595" t="s">
        <v>164</v>
      </c>
      <c r="K67" s="595" t="str">
        <f>K66</f>
        <v>　</v>
      </c>
      <c r="L67" s="595" t="s">
        <v>164</v>
      </c>
      <c r="M67" s="659"/>
      <c r="N67" s="597"/>
      <c r="O67" s="601" t="s">
        <v>164</v>
      </c>
      <c r="P67" s="660">
        <f>SUM(D67+E67)*0.5*M65</f>
        <v>0</v>
      </c>
      <c r="R67" s="97">
        <f>0.075*0.13*0.068</f>
        <v>6.6300000000000007E-4</v>
      </c>
      <c r="S67" s="600"/>
    </row>
    <row r="68" spans="2:19">
      <c r="B68" s="661"/>
      <c r="C68" s="656" t="s">
        <v>311</v>
      </c>
      <c r="D68" s="657"/>
      <c r="E68" s="657"/>
      <c r="F68" s="658"/>
      <c r="G68" s="658"/>
      <c r="H68" s="658"/>
      <c r="I68" s="595" t="s">
        <v>164</v>
      </c>
      <c r="J68" s="595" t="s">
        <v>164</v>
      </c>
      <c r="K68" s="595" t="s">
        <v>164</v>
      </c>
      <c r="L68" s="595" t="s">
        <v>164</v>
      </c>
      <c r="M68" s="659"/>
      <c r="N68" s="597"/>
      <c r="O68" s="601" t="s">
        <v>164</v>
      </c>
      <c r="P68" s="662">
        <f>SUM(D68+E68)*1.1*M65</f>
        <v>0</v>
      </c>
      <c r="R68" s="97">
        <f>0.105*0.165*0.068</f>
        <v>1.1781000000000001E-3</v>
      </c>
      <c r="S68" s="600"/>
    </row>
    <row r="69" spans="2:19">
      <c r="B69" s="679"/>
      <c r="C69" s="644" t="s">
        <v>302</v>
      </c>
      <c r="D69" s="645"/>
      <c r="E69" s="645"/>
      <c r="F69" s="695"/>
      <c r="G69" s="695"/>
      <c r="H69" s="695"/>
      <c r="I69" s="618">
        <v>1.2</v>
      </c>
      <c r="J69" s="618">
        <f>(F69*G69*2+(F69*2+G69*2)*H69)*I69/1000</f>
        <v>0</v>
      </c>
      <c r="K69" s="618">
        <v>7.93</v>
      </c>
      <c r="L69" s="618">
        <f>J69*K69*1000</f>
        <v>0</v>
      </c>
      <c r="M69" s="696"/>
      <c r="N69" s="697"/>
      <c r="O69" s="564">
        <f>L69*M69</f>
        <v>0</v>
      </c>
      <c r="P69" s="698"/>
      <c r="R69" s="97"/>
      <c r="S69" s="600"/>
    </row>
    <row r="70" spans="2:19">
      <c r="B70" s="646"/>
      <c r="C70" s="647" t="s">
        <v>309</v>
      </c>
      <c r="D70" s="648"/>
      <c r="E70" s="648"/>
      <c r="F70" s="649"/>
      <c r="G70" s="649"/>
      <c r="H70" s="649"/>
      <c r="I70" s="650" t="s">
        <v>164</v>
      </c>
      <c r="J70" s="650" t="s">
        <v>164</v>
      </c>
      <c r="K70" s="650" t="s">
        <v>164</v>
      </c>
      <c r="L70" s="650" t="s">
        <v>164</v>
      </c>
      <c r="M70" s="651" t="s">
        <v>164</v>
      </c>
      <c r="N70" s="652"/>
      <c r="O70" s="653" t="s">
        <v>164</v>
      </c>
      <c r="P70" s="654">
        <f>SUM(D70+E70)*0.1*M69</f>
        <v>0</v>
      </c>
      <c r="R70" s="97">
        <f>0.032*0.07*0.036</f>
        <v>8.064E-5</v>
      </c>
      <c r="S70" s="600"/>
    </row>
    <row r="71" spans="2:19">
      <c r="B71" s="655"/>
      <c r="C71" s="656" t="s">
        <v>310</v>
      </c>
      <c r="D71" s="657"/>
      <c r="E71" s="657"/>
      <c r="F71" s="658"/>
      <c r="G71" s="658"/>
      <c r="H71" s="658"/>
      <c r="I71" s="595" t="s">
        <v>164</v>
      </c>
      <c r="J71" s="595" t="s">
        <v>164</v>
      </c>
      <c r="K71" s="595" t="str">
        <f>K70</f>
        <v>　</v>
      </c>
      <c r="L71" s="595" t="s">
        <v>164</v>
      </c>
      <c r="M71" s="659" t="s">
        <v>164</v>
      </c>
      <c r="N71" s="597"/>
      <c r="O71" s="601" t="s">
        <v>164</v>
      </c>
      <c r="P71" s="660">
        <f>SUM(D71+E71)*0.5*M69</f>
        <v>0</v>
      </c>
      <c r="R71" s="97">
        <f>0.075*0.13*0.068</f>
        <v>6.6300000000000007E-4</v>
      </c>
      <c r="S71" s="600"/>
    </row>
    <row r="72" spans="2:19">
      <c r="B72" s="661"/>
      <c r="C72" s="656" t="s">
        <v>311</v>
      </c>
      <c r="D72" s="657"/>
      <c r="E72" s="657"/>
      <c r="F72" s="658"/>
      <c r="G72" s="658"/>
      <c r="H72" s="658"/>
      <c r="I72" s="595" t="s">
        <v>164</v>
      </c>
      <c r="J72" s="595" t="s">
        <v>164</v>
      </c>
      <c r="K72" s="595" t="s">
        <v>164</v>
      </c>
      <c r="L72" s="595" t="s">
        <v>164</v>
      </c>
      <c r="M72" s="659" t="s">
        <v>164</v>
      </c>
      <c r="N72" s="597"/>
      <c r="O72" s="601" t="s">
        <v>164</v>
      </c>
      <c r="P72" s="662">
        <f>SUM(D72+E72)*1.1*M69</f>
        <v>0</v>
      </c>
      <c r="R72" s="97">
        <f>0.105*0.165*0.068</f>
        <v>1.1781000000000001E-3</v>
      </c>
      <c r="S72" s="600"/>
    </row>
    <row r="73" spans="2:19">
      <c r="B73" s="679"/>
      <c r="C73" s="644" t="s">
        <v>302</v>
      </c>
      <c r="D73" s="645"/>
      <c r="E73" s="645"/>
      <c r="F73" s="695"/>
      <c r="G73" s="695"/>
      <c r="H73" s="695"/>
      <c r="I73" s="618">
        <v>1.2</v>
      </c>
      <c r="J73" s="618">
        <f>(F73*G73*2+(F73*2+G73*2)*H73)*I73/1000</f>
        <v>0</v>
      </c>
      <c r="K73" s="618">
        <v>7.93</v>
      </c>
      <c r="L73" s="618">
        <f>J73*K73*1000</f>
        <v>0</v>
      </c>
      <c r="M73" s="696"/>
      <c r="N73" s="697"/>
      <c r="O73" s="564">
        <f>L73*M73</f>
        <v>0</v>
      </c>
      <c r="P73" s="699"/>
      <c r="R73" s="97"/>
      <c r="S73" s="600"/>
    </row>
    <row r="74" spans="2:19">
      <c r="B74" s="646"/>
      <c r="C74" s="647" t="s">
        <v>309</v>
      </c>
      <c r="D74" s="648"/>
      <c r="E74" s="648"/>
      <c r="F74" s="649"/>
      <c r="G74" s="649"/>
      <c r="H74" s="649"/>
      <c r="I74" s="650" t="s">
        <v>164</v>
      </c>
      <c r="J74" s="650" t="s">
        <v>164</v>
      </c>
      <c r="K74" s="650" t="s">
        <v>164</v>
      </c>
      <c r="L74" s="650" t="s">
        <v>164</v>
      </c>
      <c r="M74" s="651"/>
      <c r="N74" s="652"/>
      <c r="O74" s="653" t="s">
        <v>164</v>
      </c>
      <c r="P74" s="654">
        <f>SUM(D74+E74)*0.1*M73</f>
        <v>0</v>
      </c>
      <c r="R74" s="97">
        <f>0.032*0.07*0.036</f>
        <v>8.064E-5</v>
      </c>
      <c r="S74" s="600"/>
    </row>
    <row r="75" spans="2:19">
      <c r="B75" s="655"/>
      <c r="C75" s="656" t="s">
        <v>310</v>
      </c>
      <c r="D75" s="657"/>
      <c r="E75" s="657"/>
      <c r="F75" s="658"/>
      <c r="G75" s="658"/>
      <c r="H75" s="658"/>
      <c r="I75" s="595" t="s">
        <v>164</v>
      </c>
      <c r="J75" s="595" t="s">
        <v>164</v>
      </c>
      <c r="K75" s="595" t="str">
        <f>K74</f>
        <v>　</v>
      </c>
      <c r="L75" s="595" t="s">
        <v>164</v>
      </c>
      <c r="M75" s="659"/>
      <c r="N75" s="597"/>
      <c r="O75" s="601" t="s">
        <v>164</v>
      </c>
      <c r="P75" s="660">
        <f>SUM(D75+E75)*0.5*M73</f>
        <v>0</v>
      </c>
      <c r="R75" s="97">
        <f>0.075*0.13*0.068</f>
        <v>6.6300000000000007E-4</v>
      </c>
      <c r="S75" s="600"/>
    </row>
    <row r="76" spans="2:19">
      <c r="B76" s="603"/>
      <c r="C76" s="681" t="s">
        <v>311</v>
      </c>
      <c r="D76" s="682"/>
      <c r="E76" s="682"/>
      <c r="F76" s="683"/>
      <c r="G76" s="683"/>
      <c r="H76" s="683"/>
      <c r="I76" s="607" t="s">
        <v>164</v>
      </c>
      <c r="J76" s="607" t="s">
        <v>164</v>
      </c>
      <c r="K76" s="607" t="s">
        <v>164</v>
      </c>
      <c r="L76" s="607" t="s">
        <v>164</v>
      </c>
      <c r="M76" s="684"/>
      <c r="N76" s="685"/>
      <c r="O76" s="611" t="s">
        <v>164</v>
      </c>
      <c r="P76" s="662">
        <f>SUM(D76+E76)*1.1*M73</f>
        <v>0</v>
      </c>
      <c r="R76" s="97">
        <f>0.105*0.165*0.068</f>
        <v>1.1781000000000001E-3</v>
      </c>
      <c r="S76" s="600"/>
    </row>
    <row r="77" spans="2:19">
      <c r="B77" s="562"/>
      <c r="C77" s="663"/>
      <c r="D77" s="664"/>
      <c r="E77" s="664"/>
      <c r="F77" s="665"/>
      <c r="G77" s="665"/>
      <c r="H77" s="665"/>
      <c r="I77" s="666"/>
      <c r="J77" s="666"/>
      <c r="K77" s="666"/>
      <c r="L77" s="666"/>
      <c r="M77" s="667"/>
      <c r="N77" s="668"/>
      <c r="O77" s="669"/>
      <c r="P77" s="670"/>
      <c r="R77" s="97"/>
      <c r="S77" s="600"/>
    </row>
    <row r="78" spans="2:19">
      <c r="B78" s="643"/>
      <c r="C78" s="644" t="s">
        <v>281</v>
      </c>
      <c r="D78" s="645"/>
      <c r="E78" s="645"/>
      <c r="F78" s="616"/>
      <c r="G78" s="616"/>
      <c r="H78" s="616"/>
      <c r="I78" s="617">
        <v>1.6</v>
      </c>
      <c r="J78" s="617">
        <f>(F78*G78*2+(F78*2+G78*2)*H78)*I78/1000</f>
        <v>0</v>
      </c>
      <c r="K78" s="617">
        <v>7.85</v>
      </c>
      <c r="L78" s="618">
        <f>J78*K78*1000</f>
        <v>0</v>
      </c>
      <c r="M78" s="619"/>
      <c r="N78" s="620">
        <f>L78*M78</f>
        <v>0</v>
      </c>
      <c r="O78" s="621"/>
      <c r="P78" s="622"/>
      <c r="R78" s="97"/>
      <c r="S78" s="600"/>
    </row>
    <row r="79" spans="2:19">
      <c r="B79" s="646"/>
      <c r="C79" s="647" t="s">
        <v>309</v>
      </c>
      <c r="D79" s="648"/>
      <c r="E79" s="648"/>
      <c r="F79" s="649"/>
      <c r="G79" s="649"/>
      <c r="H79" s="649"/>
      <c r="I79" s="650" t="s">
        <v>164</v>
      </c>
      <c r="J79" s="650" t="s">
        <v>164</v>
      </c>
      <c r="K79" s="650" t="s">
        <v>164</v>
      </c>
      <c r="L79" s="650" t="s">
        <v>164</v>
      </c>
      <c r="M79" s="651"/>
      <c r="N79" s="652"/>
      <c r="O79" s="653" t="s">
        <v>164</v>
      </c>
      <c r="P79" s="654">
        <f>SUM(D79+E79)*0.1*M78</f>
        <v>0</v>
      </c>
      <c r="R79" s="97">
        <f>0.032*0.07*0.036</f>
        <v>8.064E-5</v>
      </c>
      <c r="S79" s="600">
        <f>(D79+E79)*R79</f>
        <v>0</v>
      </c>
    </row>
    <row r="80" spans="2:19">
      <c r="B80" s="655"/>
      <c r="C80" s="656" t="s">
        <v>310</v>
      </c>
      <c r="D80" s="657"/>
      <c r="E80" s="657"/>
      <c r="F80" s="658"/>
      <c r="G80" s="658"/>
      <c r="H80" s="658"/>
      <c r="I80" s="595" t="s">
        <v>164</v>
      </c>
      <c r="J80" s="595" t="s">
        <v>164</v>
      </c>
      <c r="K80" s="595" t="str">
        <f>K79</f>
        <v>　</v>
      </c>
      <c r="L80" s="595" t="s">
        <v>164</v>
      </c>
      <c r="M80" s="659"/>
      <c r="N80" s="597"/>
      <c r="O80" s="601" t="s">
        <v>164</v>
      </c>
      <c r="P80" s="660">
        <f>SUM(D80+E80)*0.5*M78</f>
        <v>0</v>
      </c>
      <c r="R80" s="97">
        <f>0.075*0.13*0.068</f>
        <v>6.6300000000000007E-4</v>
      </c>
      <c r="S80" s="600"/>
    </row>
    <row r="81" spans="2:19">
      <c r="B81" s="603"/>
      <c r="C81" s="681" t="s">
        <v>311</v>
      </c>
      <c r="D81" s="682"/>
      <c r="E81" s="682"/>
      <c r="F81" s="683"/>
      <c r="G81" s="683"/>
      <c r="H81" s="683"/>
      <c r="I81" s="607" t="s">
        <v>164</v>
      </c>
      <c r="J81" s="607" t="s">
        <v>164</v>
      </c>
      <c r="K81" s="607" t="s">
        <v>164</v>
      </c>
      <c r="L81" s="607" t="s">
        <v>164</v>
      </c>
      <c r="M81" s="684"/>
      <c r="N81" s="685"/>
      <c r="O81" s="611" t="s">
        <v>164</v>
      </c>
      <c r="P81" s="662">
        <f>SUM(D81+E81)*1.1*M78</f>
        <v>0</v>
      </c>
      <c r="R81" s="97">
        <f>0.105*0.165*0.068</f>
        <v>1.1781000000000001E-3</v>
      </c>
      <c r="S81" s="600"/>
    </row>
    <row r="82" spans="2:19">
      <c r="B82" s="643"/>
      <c r="C82" s="644" t="s">
        <v>281</v>
      </c>
      <c r="D82" s="645"/>
      <c r="E82" s="645"/>
      <c r="F82" s="616"/>
      <c r="G82" s="616"/>
      <c r="H82" s="616"/>
      <c r="I82" s="617">
        <v>1.6</v>
      </c>
      <c r="J82" s="617">
        <f>(F82*G82*2+(F82*2+G82*2)*H82)*I82/1000</f>
        <v>0</v>
      </c>
      <c r="K82" s="617">
        <v>7.85</v>
      </c>
      <c r="L82" s="618">
        <f>J82*K82*1000</f>
        <v>0</v>
      </c>
      <c r="M82" s="619"/>
      <c r="N82" s="620">
        <f>L82*M82</f>
        <v>0</v>
      </c>
      <c r="O82" s="621"/>
      <c r="P82" s="622"/>
      <c r="R82" s="97"/>
      <c r="S82" s="600"/>
    </row>
    <row r="83" spans="2:19">
      <c r="B83" s="646"/>
      <c r="C83" s="647" t="s">
        <v>309</v>
      </c>
      <c r="D83" s="648"/>
      <c r="E83" s="648"/>
      <c r="F83" s="649"/>
      <c r="G83" s="649"/>
      <c r="H83" s="649"/>
      <c r="I83" s="650" t="s">
        <v>164</v>
      </c>
      <c r="J83" s="650" t="s">
        <v>164</v>
      </c>
      <c r="K83" s="650" t="s">
        <v>164</v>
      </c>
      <c r="L83" s="650" t="s">
        <v>164</v>
      </c>
      <c r="M83" s="651"/>
      <c r="N83" s="652"/>
      <c r="O83" s="653" t="s">
        <v>164</v>
      </c>
      <c r="P83" s="654">
        <f>SUM(D83+E83)*0.1*M82</f>
        <v>0</v>
      </c>
      <c r="R83" s="97">
        <f>0.032*0.07*0.036</f>
        <v>8.064E-5</v>
      </c>
      <c r="S83" s="600"/>
    </row>
    <row r="84" spans="2:19">
      <c r="B84" s="655"/>
      <c r="C84" s="656" t="s">
        <v>310</v>
      </c>
      <c r="D84" s="657"/>
      <c r="E84" s="657"/>
      <c r="F84" s="658"/>
      <c r="G84" s="658"/>
      <c r="H84" s="658"/>
      <c r="I84" s="595" t="s">
        <v>164</v>
      </c>
      <c r="J84" s="595" t="s">
        <v>164</v>
      </c>
      <c r="K84" s="595" t="str">
        <f>K83</f>
        <v>　</v>
      </c>
      <c r="L84" s="595" t="s">
        <v>164</v>
      </c>
      <c r="M84" s="659"/>
      <c r="N84" s="597"/>
      <c r="O84" s="601" t="s">
        <v>164</v>
      </c>
      <c r="P84" s="660">
        <f>SUM(D84+E84)*0.5*M82</f>
        <v>0</v>
      </c>
      <c r="R84" s="97">
        <f>0.075*0.13*0.068</f>
        <v>6.6300000000000007E-4</v>
      </c>
      <c r="S84" s="600"/>
    </row>
    <row r="85" spans="2:19">
      <c r="B85" s="603"/>
      <c r="C85" s="681" t="s">
        <v>311</v>
      </c>
      <c r="D85" s="682"/>
      <c r="E85" s="682"/>
      <c r="F85" s="683"/>
      <c r="G85" s="683"/>
      <c r="H85" s="683"/>
      <c r="I85" s="607" t="s">
        <v>164</v>
      </c>
      <c r="J85" s="607" t="s">
        <v>164</v>
      </c>
      <c r="K85" s="607" t="s">
        <v>164</v>
      </c>
      <c r="L85" s="607" t="s">
        <v>164</v>
      </c>
      <c r="M85" s="684"/>
      <c r="N85" s="685"/>
      <c r="O85" s="611" t="s">
        <v>164</v>
      </c>
      <c r="P85" s="662">
        <f>SUM(D85+E85)*1.1*M82</f>
        <v>0</v>
      </c>
      <c r="R85" s="97">
        <f>0.105*0.165*0.068</f>
        <v>1.1781000000000001E-3</v>
      </c>
      <c r="S85" s="600"/>
    </row>
    <row r="86" spans="2:19">
      <c r="B86" s="643"/>
      <c r="C86" s="644" t="s">
        <v>281</v>
      </c>
      <c r="D86" s="645"/>
      <c r="E86" s="645"/>
      <c r="F86" s="616"/>
      <c r="G86" s="616"/>
      <c r="H86" s="616"/>
      <c r="I86" s="617">
        <v>1.6</v>
      </c>
      <c r="J86" s="617">
        <f>(F86*G86*2+(F86*2+G86*2)*H86)*I86/1000</f>
        <v>0</v>
      </c>
      <c r="K86" s="617">
        <v>7.85</v>
      </c>
      <c r="L86" s="618">
        <f>J86*K86*1000</f>
        <v>0</v>
      </c>
      <c r="M86" s="619"/>
      <c r="N86" s="620">
        <f>L86*M86</f>
        <v>0</v>
      </c>
      <c r="O86" s="621" t="s">
        <v>164</v>
      </c>
      <c r="P86" s="622"/>
      <c r="R86" s="97"/>
      <c r="S86" s="600"/>
    </row>
    <row r="87" spans="2:19">
      <c r="B87" s="646"/>
      <c r="C87" s="647" t="s">
        <v>309</v>
      </c>
      <c r="D87" s="648"/>
      <c r="E87" s="648"/>
      <c r="F87" s="649"/>
      <c r="G87" s="649"/>
      <c r="H87" s="649"/>
      <c r="I87" s="650" t="s">
        <v>164</v>
      </c>
      <c r="J87" s="650" t="s">
        <v>164</v>
      </c>
      <c r="K87" s="650" t="s">
        <v>164</v>
      </c>
      <c r="L87" s="650" t="s">
        <v>164</v>
      </c>
      <c r="M87" s="651"/>
      <c r="N87" s="652"/>
      <c r="O87" s="653" t="s">
        <v>164</v>
      </c>
      <c r="P87" s="654">
        <f>SUM(D87+E87)*0.1*M86</f>
        <v>0</v>
      </c>
      <c r="R87" s="97">
        <f>0.032*0.07*0.036</f>
        <v>8.064E-5</v>
      </c>
      <c r="S87" s="600"/>
    </row>
    <row r="88" spans="2:19">
      <c r="B88" s="655"/>
      <c r="C88" s="656" t="s">
        <v>310</v>
      </c>
      <c r="D88" s="657"/>
      <c r="E88" s="657"/>
      <c r="F88" s="658"/>
      <c r="G88" s="658"/>
      <c r="H88" s="658"/>
      <c r="I88" s="595" t="s">
        <v>164</v>
      </c>
      <c r="J88" s="595" t="s">
        <v>164</v>
      </c>
      <c r="K88" s="595" t="str">
        <f>K87</f>
        <v>　</v>
      </c>
      <c r="L88" s="595" t="s">
        <v>164</v>
      </c>
      <c r="M88" s="659"/>
      <c r="N88" s="597"/>
      <c r="O88" s="601" t="s">
        <v>164</v>
      </c>
      <c r="P88" s="660">
        <f>SUM(D88+E88)*0.5*M86</f>
        <v>0</v>
      </c>
      <c r="R88" s="97">
        <f>0.075*0.13*0.068</f>
        <v>6.6300000000000007E-4</v>
      </c>
      <c r="S88" s="600"/>
    </row>
    <row r="89" spans="2:19">
      <c r="B89" s="603"/>
      <c r="C89" s="681" t="s">
        <v>311</v>
      </c>
      <c r="D89" s="682"/>
      <c r="E89" s="682"/>
      <c r="F89" s="683"/>
      <c r="G89" s="683"/>
      <c r="H89" s="683"/>
      <c r="I89" s="607" t="s">
        <v>164</v>
      </c>
      <c r="J89" s="607" t="s">
        <v>164</v>
      </c>
      <c r="K89" s="607" t="s">
        <v>164</v>
      </c>
      <c r="L89" s="607" t="s">
        <v>164</v>
      </c>
      <c r="M89" s="684"/>
      <c r="N89" s="685"/>
      <c r="O89" s="611" t="s">
        <v>164</v>
      </c>
      <c r="P89" s="662">
        <f>SUM(D89+E89)*1.1*M86</f>
        <v>0</v>
      </c>
      <c r="R89" s="97">
        <f>0.105*0.165*0.068</f>
        <v>1.1781000000000001E-3</v>
      </c>
      <c r="S89" s="600"/>
    </row>
    <row r="90" spans="2:19">
      <c r="B90" s="679"/>
      <c r="C90" s="644" t="s">
        <v>281</v>
      </c>
      <c r="D90" s="645"/>
      <c r="E90" s="645"/>
      <c r="F90" s="616"/>
      <c r="G90" s="616"/>
      <c r="H90" s="616"/>
      <c r="I90" s="617">
        <v>1.6</v>
      </c>
      <c r="J90" s="617">
        <f>(F90*G90*2+(F90*2+G90*2)*H90)*I90/1000</f>
        <v>0</v>
      </c>
      <c r="K90" s="617">
        <v>7.85</v>
      </c>
      <c r="L90" s="618">
        <f>J90*K90*1000</f>
        <v>0</v>
      </c>
      <c r="M90" s="619"/>
      <c r="N90" s="620">
        <f>L90*M90</f>
        <v>0</v>
      </c>
      <c r="O90" s="621"/>
      <c r="P90" s="622"/>
      <c r="R90" s="97"/>
      <c r="S90" s="600"/>
    </row>
    <row r="91" spans="2:19">
      <c r="B91" s="646"/>
      <c r="C91" s="647" t="s">
        <v>309</v>
      </c>
      <c r="D91" s="648"/>
      <c r="E91" s="648"/>
      <c r="F91" s="649"/>
      <c r="G91" s="649"/>
      <c r="H91" s="649"/>
      <c r="I91" s="650" t="s">
        <v>164</v>
      </c>
      <c r="J91" s="650" t="s">
        <v>164</v>
      </c>
      <c r="K91" s="650" t="s">
        <v>164</v>
      </c>
      <c r="L91" s="650" t="s">
        <v>164</v>
      </c>
      <c r="M91" s="651"/>
      <c r="N91" s="652"/>
      <c r="O91" s="653" t="s">
        <v>164</v>
      </c>
      <c r="P91" s="654">
        <f>SUM(D91+E91)*0.1*M90</f>
        <v>0</v>
      </c>
      <c r="R91" s="97">
        <f>0.032*0.07*0.036</f>
        <v>8.064E-5</v>
      </c>
      <c r="S91" s="600"/>
    </row>
    <row r="92" spans="2:19">
      <c r="B92" s="655"/>
      <c r="C92" s="656" t="s">
        <v>310</v>
      </c>
      <c r="D92" s="657"/>
      <c r="E92" s="657"/>
      <c r="F92" s="658"/>
      <c r="G92" s="658"/>
      <c r="H92" s="658"/>
      <c r="I92" s="595" t="s">
        <v>164</v>
      </c>
      <c r="J92" s="595" t="s">
        <v>164</v>
      </c>
      <c r="K92" s="595" t="str">
        <f>K91</f>
        <v>　</v>
      </c>
      <c r="L92" s="595" t="s">
        <v>164</v>
      </c>
      <c r="M92" s="659"/>
      <c r="N92" s="597"/>
      <c r="O92" s="601" t="s">
        <v>164</v>
      </c>
      <c r="P92" s="660">
        <f>SUM(D92+E92)*0.5*M90</f>
        <v>0</v>
      </c>
      <c r="R92" s="97">
        <f>0.075*0.13*0.068</f>
        <v>6.6300000000000007E-4</v>
      </c>
      <c r="S92" s="600"/>
    </row>
    <row r="93" spans="2:19">
      <c r="B93" s="603"/>
      <c r="C93" s="681" t="s">
        <v>311</v>
      </c>
      <c r="D93" s="682"/>
      <c r="E93" s="682"/>
      <c r="F93" s="683"/>
      <c r="G93" s="683"/>
      <c r="H93" s="683"/>
      <c r="I93" s="607" t="s">
        <v>164</v>
      </c>
      <c r="J93" s="607" t="s">
        <v>164</v>
      </c>
      <c r="K93" s="607" t="s">
        <v>164</v>
      </c>
      <c r="L93" s="607" t="s">
        <v>164</v>
      </c>
      <c r="M93" s="684"/>
      <c r="N93" s="685"/>
      <c r="O93" s="611" t="s">
        <v>164</v>
      </c>
      <c r="P93" s="662">
        <f>SUM(D93+E93)*1.1*M90</f>
        <v>0</v>
      </c>
      <c r="R93" s="97">
        <f>0.105*0.165*0.068</f>
        <v>1.1781000000000001E-3</v>
      </c>
      <c r="S93" s="600"/>
    </row>
    <row r="94" spans="2:19">
      <c r="B94" s="679"/>
      <c r="C94" s="644" t="s">
        <v>281</v>
      </c>
      <c r="D94" s="645"/>
      <c r="E94" s="645"/>
      <c r="F94" s="616"/>
      <c r="G94" s="616"/>
      <c r="H94" s="616"/>
      <c r="I94" s="617">
        <v>1.6</v>
      </c>
      <c r="J94" s="617">
        <f>(F94*G94*2+(F94*2+G94*2)*H94)*I94/1000</f>
        <v>0</v>
      </c>
      <c r="K94" s="617">
        <v>7.85</v>
      </c>
      <c r="L94" s="618">
        <f>J94*K94*1000</f>
        <v>0</v>
      </c>
      <c r="M94" s="619"/>
      <c r="N94" s="620">
        <f>L94*M94</f>
        <v>0</v>
      </c>
      <c r="O94" s="621"/>
      <c r="P94" s="622"/>
      <c r="R94" s="97"/>
      <c r="S94" s="600"/>
    </row>
    <row r="95" spans="2:19">
      <c r="B95" s="646"/>
      <c r="C95" s="647" t="s">
        <v>309</v>
      </c>
      <c r="D95" s="648"/>
      <c r="E95" s="648"/>
      <c r="F95" s="649" t="s">
        <v>164</v>
      </c>
      <c r="G95" s="649" t="s">
        <v>164</v>
      </c>
      <c r="H95" s="649" t="s">
        <v>164</v>
      </c>
      <c r="I95" s="650" t="s">
        <v>164</v>
      </c>
      <c r="J95" s="650" t="s">
        <v>164</v>
      </c>
      <c r="K95" s="650" t="s">
        <v>164</v>
      </c>
      <c r="L95" s="650" t="s">
        <v>164</v>
      </c>
      <c r="M95" s="651" t="s">
        <v>164</v>
      </c>
      <c r="N95" s="652"/>
      <c r="O95" s="653" t="s">
        <v>164</v>
      </c>
      <c r="P95" s="654">
        <f>SUM(D95+E95)*0.1*M94</f>
        <v>0</v>
      </c>
      <c r="R95" s="97">
        <f>0.032*0.07*0.036</f>
        <v>8.064E-5</v>
      </c>
      <c r="S95" s="600"/>
    </row>
    <row r="96" spans="2:19">
      <c r="B96" s="655" t="s">
        <v>164</v>
      </c>
      <c r="C96" s="656" t="s">
        <v>310</v>
      </c>
      <c r="D96" s="657"/>
      <c r="E96" s="657"/>
      <c r="F96" s="658" t="s">
        <v>164</v>
      </c>
      <c r="G96" s="658" t="s">
        <v>164</v>
      </c>
      <c r="H96" s="658" t="s">
        <v>164</v>
      </c>
      <c r="I96" s="595" t="s">
        <v>164</v>
      </c>
      <c r="J96" s="595" t="s">
        <v>164</v>
      </c>
      <c r="K96" s="595" t="str">
        <f>K95</f>
        <v>　</v>
      </c>
      <c r="L96" s="595" t="s">
        <v>164</v>
      </c>
      <c r="M96" s="659" t="s">
        <v>164</v>
      </c>
      <c r="N96" s="597"/>
      <c r="O96" s="601" t="s">
        <v>164</v>
      </c>
      <c r="P96" s="660">
        <f>SUM(D96+E96)*0.5*M94</f>
        <v>0</v>
      </c>
      <c r="R96" s="97">
        <f>0.075*0.13*0.068</f>
        <v>6.6300000000000007E-4</v>
      </c>
      <c r="S96" s="600"/>
    </row>
    <row r="97" spans="2:19">
      <c r="B97" s="661" t="s">
        <v>164</v>
      </c>
      <c r="C97" s="700" t="s">
        <v>311</v>
      </c>
      <c r="D97" s="701"/>
      <c r="E97" s="701"/>
      <c r="F97" s="702"/>
      <c r="G97" s="702"/>
      <c r="H97" s="702"/>
      <c r="I97" s="703" t="s">
        <v>164</v>
      </c>
      <c r="J97" s="703" t="s">
        <v>164</v>
      </c>
      <c r="K97" s="703" t="s">
        <v>164</v>
      </c>
      <c r="L97" s="703" t="s">
        <v>164</v>
      </c>
      <c r="M97" s="704" t="s">
        <v>164</v>
      </c>
      <c r="N97" s="705"/>
      <c r="O97" s="706" t="s">
        <v>164</v>
      </c>
      <c r="P97" s="662">
        <f>SUM(D97+E97)*1.1*M94</f>
        <v>0</v>
      </c>
      <c r="R97" s="97">
        <f>0.105*0.165*0.068</f>
        <v>1.1781000000000001E-3</v>
      </c>
      <c r="S97" s="600"/>
    </row>
    <row r="98" spans="2:19" ht="14.25" thickBot="1">
      <c r="B98" s="707" t="s">
        <v>308</v>
      </c>
      <c r="C98" s="708"/>
      <c r="D98" s="709"/>
      <c r="E98" s="709"/>
      <c r="F98" s="710"/>
      <c r="G98" s="710"/>
      <c r="H98" s="710"/>
      <c r="I98" s="618"/>
      <c r="J98" s="618"/>
      <c r="K98" s="618"/>
      <c r="L98" s="618"/>
      <c r="M98" s="711"/>
      <c r="N98" s="564">
        <f>SUM(N65:N97)</f>
        <v>0</v>
      </c>
      <c r="O98" s="712">
        <f>SUM(O65:O97)</f>
        <v>0</v>
      </c>
      <c r="P98" s="713">
        <f>SUM(P65:P97)</f>
        <v>0</v>
      </c>
      <c r="R98" s="97"/>
      <c r="S98" s="600"/>
    </row>
    <row r="99" spans="2:19" ht="27">
      <c r="B99" s="556" t="s">
        <v>25</v>
      </c>
      <c r="C99" s="566" t="s">
        <v>283</v>
      </c>
      <c r="D99" s="558" t="s">
        <v>284</v>
      </c>
      <c r="E99" s="558" t="s">
        <v>285</v>
      </c>
      <c r="F99" s="567" t="s">
        <v>286</v>
      </c>
      <c r="G99" s="567" t="s">
        <v>287</v>
      </c>
      <c r="H99" s="568" t="s">
        <v>288</v>
      </c>
      <c r="I99" s="559" t="s">
        <v>289</v>
      </c>
      <c r="J99" s="559" t="s">
        <v>290</v>
      </c>
      <c r="K99" s="559" t="s">
        <v>79</v>
      </c>
      <c r="L99" s="557" t="s">
        <v>291</v>
      </c>
      <c r="M99" s="557" t="s">
        <v>80</v>
      </c>
      <c r="N99" s="637" t="s">
        <v>292</v>
      </c>
      <c r="O99" s="638"/>
      <c r="P99" s="639" t="s">
        <v>293</v>
      </c>
      <c r="R99" s="97"/>
      <c r="S99" s="600"/>
    </row>
    <row r="100" spans="2:19" ht="27.75" thickBot="1">
      <c r="B100" s="572"/>
      <c r="C100" s="573"/>
      <c r="D100" s="574"/>
      <c r="E100" s="574"/>
      <c r="F100" s="575" t="s">
        <v>294</v>
      </c>
      <c r="G100" s="575" t="s">
        <v>294</v>
      </c>
      <c r="H100" s="575" t="s">
        <v>294</v>
      </c>
      <c r="I100" s="575" t="s">
        <v>295</v>
      </c>
      <c r="J100" s="575" t="s">
        <v>296</v>
      </c>
      <c r="K100" s="575" t="s">
        <v>297</v>
      </c>
      <c r="L100" s="576" t="s">
        <v>91</v>
      </c>
      <c r="M100" s="576" t="s">
        <v>280</v>
      </c>
      <c r="N100" s="640" t="s">
        <v>298</v>
      </c>
      <c r="O100" s="641" t="s">
        <v>299</v>
      </c>
      <c r="P100" s="642" t="s">
        <v>300</v>
      </c>
      <c r="R100" s="97"/>
      <c r="S100" s="600"/>
    </row>
    <row r="101" spans="2:19">
      <c r="B101" s="671"/>
      <c r="C101" s="672" t="s">
        <v>312</v>
      </c>
      <c r="D101" s="673"/>
      <c r="E101" s="673"/>
      <c r="F101" s="674"/>
      <c r="G101" s="674"/>
      <c r="H101" s="674"/>
      <c r="I101" s="675">
        <v>2</v>
      </c>
      <c r="J101" s="675">
        <f>(F101*G101*2+(F101*2+G101*2)*H101)*I101/1000</f>
        <v>0</v>
      </c>
      <c r="K101" s="675">
        <v>1.4</v>
      </c>
      <c r="L101" s="675">
        <f>J101*K101*1000</f>
        <v>0</v>
      </c>
      <c r="M101" s="676"/>
      <c r="N101" s="677"/>
      <c r="O101" s="563" t="s">
        <v>164</v>
      </c>
      <c r="P101" s="678">
        <f>L101*M101</f>
        <v>0</v>
      </c>
      <c r="R101" s="97"/>
      <c r="S101" s="600"/>
    </row>
    <row r="102" spans="2:19">
      <c r="B102" s="646"/>
      <c r="C102" s="647" t="s">
        <v>309</v>
      </c>
      <c r="D102" s="648"/>
      <c r="E102" s="648"/>
      <c r="F102" s="649"/>
      <c r="G102" s="649"/>
      <c r="H102" s="649"/>
      <c r="I102" s="650" t="s">
        <v>164</v>
      </c>
      <c r="J102" s="650" t="s">
        <v>164</v>
      </c>
      <c r="K102" s="650" t="s">
        <v>164</v>
      </c>
      <c r="L102" s="650" t="s">
        <v>164</v>
      </c>
      <c r="M102" s="651"/>
      <c r="N102" s="652"/>
      <c r="O102" s="653" t="s">
        <v>164</v>
      </c>
      <c r="P102" s="654">
        <f>SUM(D102+E102)*0.1*M101</f>
        <v>0</v>
      </c>
      <c r="R102" s="97">
        <f>0.032*0.07*0.036</f>
        <v>8.064E-5</v>
      </c>
      <c r="S102" s="600"/>
    </row>
    <row r="103" spans="2:19">
      <c r="B103" s="655"/>
      <c r="C103" s="656" t="s">
        <v>310</v>
      </c>
      <c r="D103" s="657"/>
      <c r="E103" s="657"/>
      <c r="F103" s="658"/>
      <c r="G103" s="658"/>
      <c r="H103" s="658"/>
      <c r="I103" s="595" t="s">
        <v>164</v>
      </c>
      <c r="J103" s="595" t="s">
        <v>164</v>
      </c>
      <c r="K103" s="595" t="str">
        <f>K102</f>
        <v>　</v>
      </c>
      <c r="L103" s="595" t="s">
        <v>164</v>
      </c>
      <c r="M103" s="659"/>
      <c r="N103" s="597"/>
      <c r="O103" s="601" t="s">
        <v>164</v>
      </c>
      <c r="P103" s="660">
        <f>SUM(D103+E103)*0.5*M101</f>
        <v>0</v>
      </c>
      <c r="R103" s="97">
        <f>0.075*0.13*0.068</f>
        <v>6.6300000000000007E-4</v>
      </c>
      <c r="S103" s="600"/>
    </row>
    <row r="104" spans="2:19">
      <c r="B104" s="661"/>
      <c r="C104" s="656" t="s">
        <v>311</v>
      </c>
      <c r="D104" s="657"/>
      <c r="E104" s="657"/>
      <c r="F104" s="658"/>
      <c r="G104" s="658"/>
      <c r="H104" s="658"/>
      <c r="I104" s="595" t="s">
        <v>164</v>
      </c>
      <c r="J104" s="595" t="s">
        <v>164</v>
      </c>
      <c r="K104" s="595" t="s">
        <v>164</v>
      </c>
      <c r="L104" s="595" t="s">
        <v>164</v>
      </c>
      <c r="M104" s="659"/>
      <c r="N104" s="597"/>
      <c r="O104" s="601" t="s">
        <v>164</v>
      </c>
      <c r="P104" s="662">
        <f>SUM(D104+E104)*1.1*M101</f>
        <v>0</v>
      </c>
      <c r="R104" s="97">
        <f>0.105*0.165*0.068</f>
        <v>1.1781000000000001E-3</v>
      </c>
      <c r="S104" s="600"/>
    </row>
    <row r="105" spans="2:19">
      <c r="B105" s="679"/>
      <c r="C105" s="644" t="s">
        <v>312</v>
      </c>
      <c r="D105" s="645"/>
      <c r="E105" s="645"/>
      <c r="F105" s="695"/>
      <c r="G105" s="695"/>
      <c r="H105" s="695"/>
      <c r="I105" s="618">
        <v>2</v>
      </c>
      <c r="J105" s="618">
        <f>(F105*G105*2+(F105*2+G105*2)*H105)*I105/1000</f>
        <v>0</v>
      </c>
      <c r="K105" s="618">
        <v>1.4</v>
      </c>
      <c r="L105" s="618">
        <f>J105*K105*1000</f>
        <v>0</v>
      </c>
      <c r="M105" s="696"/>
      <c r="N105" s="697"/>
      <c r="O105" s="714" t="s">
        <v>164</v>
      </c>
      <c r="P105" s="699">
        <f>L105*M105</f>
        <v>0</v>
      </c>
      <c r="R105" s="97"/>
      <c r="S105" s="600"/>
    </row>
    <row r="106" spans="2:19">
      <c r="B106" s="646"/>
      <c r="C106" s="647" t="s">
        <v>309</v>
      </c>
      <c r="D106" s="648"/>
      <c r="E106" s="648"/>
      <c r="F106" s="649"/>
      <c r="G106" s="649"/>
      <c r="H106" s="649"/>
      <c r="I106" s="650" t="s">
        <v>164</v>
      </c>
      <c r="J106" s="650" t="s">
        <v>164</v>
      </c>
      <c r="K106" s="650" t="s">
        <v>164</v>
      </c>
      <c r="L106" s="650" t="s">
        <v>164</v>
      </c>
      <c r="M106" s="715"/>
      <c r="N106" s="652"/>
      <c r="O106" s="653" t="s">
        <v>164</v>
      </c>
      <c r="P106" s="654">
        <f>SUM(D106+E106)*0.1*M105</f>
        <v>0</v>
      </c>
      <c r="R106" s="97">
        <f>0.032*0.07*0.036</f>
        <v>8.064E-5</v>
      </c>
      <c r="S106" s="600"/>
    </row>
    <row r="107" spans="2:19">
      <c r="B107" s="655"/>
      <c r="C107" s="656" t="s">
        <v>310</v>
      </c>
      <c r="D107" s="657"/>
      <c r="E107" s="657"/>
      <c r="F107" s="658"/>
      <c r="G107" s="658"/>
      <c r="H107" s="658"/>
      <c r="I107" s="595" t="s">
        <v>164</v>
      </c>
      <c r="J107" s="595" t="s">
        <v>164</v>
      </c>
      <c r="K107" s="595" t="str">
        <f>K106</f>
        <v>　</v>
      </c>
      <c r="L107" s="595" t="s">
        <v>164</v>
      </c>
      <c r="M107" s="716"/>
      <c r="N107" s="597"/>
      <c r="O107" s="601" t="s">
        <v>164</v>
      </c>
      <c r="P107" s="660">
        <f>SUM(D107+E107)*0.5*M105</f>
        <v>0</v>
      </c>
      <c r="R107" s="97">
        <f>0.075*0.13*0.068</f>
        <v>6.6300000000000007E-4</v>
      </c>
      <c r="S107" s="600"/>
    </row>
    <row r="108" spans="2:19">
      <c r="B108" s="661"/>
      <c r="C108" s="656" t="s">
        <v>311</v>
      </c>
      <c r="D108" s="657"/>
      <c r="E108" s="657"/>
      <c r="F108" s="658"/>
      <c r="G108" s="658"/>
      <c r="H108" s="658"/>
      <c r="I108" s="595" t="s">
        <v>164</v>
      </c>
      <c r="J108" s="595" t="s">
        <v>164</v>
      </c>
      <c r="K108" s="595" t="s">
        <v>164</v>
      </c>
      <c r="L108" s="595" t="s">
        <v>164</v>
      </c>
      <c r="M108" s="717"/>
      <c r="N108" s="597"/>
      <c r="O108" s="601" t="s">
        <v>164</v>
      </c>
      <c r="P108" s="662">
        <f>SUM(D108+E108)*1.1*M105</f>
        <v>0</v>
      </c>
      <c r="R108" s="97">
        <f>0.105*0.165*0.068</f>
        <v>1.1781000000000001E-3</v>
      </c>
      <c r="S108" s="600"/>
    </row>
    <row r="109" spans="2:19">
      <c r="B109" s="718"/>
      <c r="C109" s="719"/>
      <c r="D109" s="618"/>
      <c r="E109" s="618"/>
      <c r="F109" s="618"/>
      <c r="G109" s="618"/>
      <c r="H109" s="618"/>
      <c r="I109" s="618"/>
      <c r="J109" s="618"/>
      <c r="K109" s="618"/>
      <c r="L109" s="618"/>
      <c r="M109" s="720"/>
      <c r="N109" s="669"/>
      <c r="O109" s="669"/>
      <c r="P109" s="721"/>
      <c r="R109" s="97"/>
      <c r="S109" s="600"/>
    </row>
    <row r="110" spans="2:19">
      <c r="B110" s="679"/>
      <c r="C110" s="644" t="s">
        <v>312</v>
      </c>
      <c r="D110" s="645"/>
      <c r="E110" s="645"/>
      <c r="F110" s="695"/>
      <c r="G110" s="695"/>
      <c r="H110" s="695"/>
      <c r="I110" s="618">
        <v>2</v>
      </c>
      <c r="J110" s="618">
        <f>(F110*G110*2+(F110*2+G110*2)*H110)*I110/1000</f>
        <v>0</v>
      </c>
      <c r="K110" s="618">
        <v>1.4</v>
      </c>
      <c r="L110" s="618">
        <f>J110*K110*1000</f>
        <v>0</v>
      </c>
      <c r="M110" s="696"/>
      <c r="N110" s="697"/>
      <c r="O110" s="714" t="s">
        <v>164</v>
      </c>
      <c r="P110" s="699">
        <f>L110*M110</f>
        <v>0</v>
      </c>
      <c r="R110" s="97"/>
      <c r="S110" s="600"/>
    </row>
    <row r="111" spans="2:19">
      <c r="B111" s="646"/>
      <c r="C111" s="647" t="s">
        <v>309</v>
      </c>
      <c r="D111" s="648"/>
      <c r="E111" s="648"/>
      <c r="F111" s="649"/>
      <c r="G111" s="649"/>
      <c r="H111" s="649"/>
      <c r="I111" s="650" t="s">
        <v>164</v>
      </c>
      <c r="J111" s="650" t="s">
        <v>164</v>
      </c>
      <c r="K111" s="650" t="s">
        <v>164</v>
      </c>
      <c r="L111" s="650" t="s">
        <v>164</v>
      </c>
      <c r="M111" s="651" t="s">
        <v>164</v>
      </c>
      <c r="N111" s="652"/>
      <c r="O111" s="653" t="s">
        <v>164</v>
      </c>
      <c r="P111" s="654">
        <f>SUM(D111+E111)*0.1*M110</f>
        <v>0</v>
      </c>
      <c r="R111" s="97">
        <f>0.032*0.07*0.036</f>
        <v>8.064E-5</v>
      </c>
      <c r="S111" s="600"/>
    </row>
    <row r="112" spans="2:19">
      <c r="B112" s="655"/>
      <c r="C112" s="656" t="s">
        <v>310</v>
      </c>
      <c r="D112" s="657"/>
      <c r="E112" s="657"/>
      <c r="F112" s="658"/>
      <c r="G112" s="658"/>
      <c r="H112" s="658"/>
      <c r="I112" s="595" t="s">
        <v>164</v>
      </c>
      <c r="J112" s="595" t="s">
        <v>164</v>
      </c>
      <c r="K112" s="595" t="str">
        <f>K111</f>
        <v>　</v>
      </c>
      <c r="L112" s="595" t="s">
        <v>164</v>
      </c>
      <c r="M112" s="659" t="s">
        <v>164</v>
      </c>
      <c r="N112" s="597"/>
      <c r="O112" s="601" t="s">
        <v>164</v>
      </c>
      <c r="P112" s="660">
        <f>SUM(D112+E112)*0.5*M110</f>
        <v>0</v>
      </c>
      <c r="R112" s="97">
        <f>0.075*0.13*0.068</f>
        <v>6.6300000000000007E-4</v>
      </c>
      <c r="S112" s="600"/>
    </row>
    <row r="113" spans="2:19">
      <c r="B113" s="603"/>
      <c r="C113" s="681" t="s">
        <v>311</v>
      </c>
      <c r="D113" s="682"/>
      <c r="E113" s="682"/>
      <c r="F113" s="683"/>
      <c r="G113" s="683"/>
      <c r="H113" s="683"/>
      <c r="I113" s="607" t="s">
        <v>164</v>
      </c>
      <c r="J113" s="607" t="s">
        <v>164</v>
      </c>
      <c r="K113" s="607" t="s">
        <v>164</v>
      </c>
      <c r="L113" s="607" t="s">
        <v>164</v>
      </c>
      <c r="M113" s="684" t="s">
        <v>164</v>
      </c>
      <c r="N113" s="685"/>
      <c r="O113" s="611" t="s">
        <v>164</v>
      </c>
      <c r="P113" s="662">
        <f>SUM(D113+E113)*1.1*M110</f>
        <v>0</v>
      </c>
      <c r="R113" s="97">
        <f>0.105*0.165*0.068</f>
        <v>1.1781000000000001E-3</v>
      </c>
      <c r="S113" s="600"/>
    </row>
    <row r="114" spans="2:19">
      <c r="B114" s="679"/>
      <c r="C114" s="644" t="s">
        <v>312</v>
      </c>
      <c r="D114" s="645"/>
      <c r="E114" s="645"/>
      <c r="F114" s="695"/>
      <c r="G114" s="695"/>
      <c r="H114" s="695"/>
      <c r="I114" s="618">
        <v>2</v>
      </c>
      <c r="J114" s="618">
        <f>(F114*G114*2+(F114*2+G114*2)*H114)*I114/1000</f>
        <v>0</v>
      </c>
      <c r="K114" s="618">
        <v>1.4</v>
      </c>
      <c r="L114" s="618">
        <f>J114*K114*1000</f>
        <v>0</v>
      </c>
      <c r="M114" s="696">
        <v>0</v>
      </c>
      <c r="N114" s="697"/>
      <c r="O114" s="714" t="s">
        <v>164</v>
      </c>
      <c r="P114" s="699">
        <f>L114*M114</f>
        <v>0</v>
      </c>
      <c r="R114" s="97"/>
      <c r="S114" s="600"/>
    </row>
    <row r="115" spans="2:19">
      <c r="B115" s="646"/>
      <c r="C115" s="647" t="s">
        <v>309</v>
      </c>
      <c r="D115" s="648"/>
      <c r="E115" s="648"/>
      <c r="F115" s="649"/>
      <c r="G115" s="649"/>
      <c r="H115" s="649"/>
      <c r="I115" s="650" t="s">
        <v>164</v>
      </c>
      <c r="J115" s="650" t="s">
        <v>164</v>
      </c>
      <c r="K115" s="650" t="s">
        <v>164</v>
      </c>
      <c r="L115" s="650" t="s">
        <v>164</v>
      </c>
      <c r="M115" s="651" t="s">
        <v>164</v>
      </c>
      <c r="N115" s="652"/>
      <c r="O115" s="653" t="s">
        <v>164</v>
      </c>
      <c r="P115" s="654">
        <f>SUM(D115+E115)*0.1*M114</f>
        <v>0</v>
      </c>
      <c r="R115" s="97">
        <f>0.032*0.07*0.036</f>
        <v>8.064E-5</v>
      </c>
      <c r="S115" s="600"/>
    </row>
    <row r="116" spans="2:19">
      <c r="B116" s="655" t="s">
        <v>164</v>
      </c>
      <c r="C116" s="656" t="s">
        <v>310</v>
      </c>
      <c r="D116" s="657"/>
      <c r="E116" s="657"/>
      <c r="F116" s="658"/>
      <c r="G116" s="658"/>
      <c r="H116" s="658"/>
      <c r="I116" s="595" t="s">
        <v>164</v>
      </c>
      <c r="J116" s="595" t="s">
        <v>164</v>
      </c>
      <c r="K116" s="595" t="str">
        <f>K115</f>
        <v>　</v>
      </c>
      <c r="L116" s="595" t="s">
        <v>164</v>
      </c>
      <c r="M116" s="659" t="s">
        <v>164</v>
      </c>
      <c r="N116" s="597"/>
      <c r="O116" s="601" t="s">
        <v>164</v>
      </c>
      <c r="P116" s="660">
        <f>SUM(D116+E116)*0.5*M114</f>
        <v>0</v>
      </c>
      <c r="R116" s="97">
        <f>0.075*0.13*0.068</f>
        <v>6.6300000000000007E-4</v>
      </c>
      <c r="S116" s="600"/>
    </row>
    <row r="117" spans="2:19">
      <c r="B117" s="603" t="s">
        <v>164</v>
      </c>
      <c r="C117" s="681" t="s">
        <v>311</v>
      </c>
      <c r="D117" s="682"/>
      <c r="E117" s="682"/>
      <c r="F117" s="683"/>
      <c r="G117" s="683"/>
      <c r="H117" s="683"/>
      <c r="I117" s="607" t="s">
        <v>164</v>
      </c>
      <c r="J117" s="607" t="s">
        <v>164</v>
      </c>
      <c r="K117" s="607" t="s">
        <v>164</v>
      </c>
      <c r="L117" s="607" t="s">
        <v>164</v>
      </c>
      <c r="M117" s="684" t="s">
        <v>164</v>
      </c>
      <c r="N117" s="685"/>
      <c r="O117" s="611" t="s">
        <v>164</v>
      </c>
      <c r="P117" s="662">
        <f>SUM(D117+E117)*1.1*M114</f>
        <v>0</v>
      </c>
      <c r="R117" s="97">
        <f>0.105*0.165*0.068</f>
        <v>1.1781000000000001E-3</v>
      </c>
      <c r="S117" s="600"/>
    </row>
    <row r="118" spans="2:19">
      <c r="B118" s="722" t="s">
        <v>308</v>
      </c>
      <c r="C118" s="723"/>
      <c r="D118" s="724"/>
      <c r="E118" s="724"/>
      <c r="F118" s="665"/>
      <c r="G118" s="665"/>
      <c r="H118" s="665"/>
      <c r="I118" s="665"/>
      <c r="J118" s="665"/>
      <c r="K118" s="665"/>
      <c r="L118" s="665"/>
      <c r="M118" s="725"/>
      <c r="N118" s="669">
        <f>SUM(N101:N117)</f>
        <v>0</v>
      </c>
      <c r="O118" s="726">
        <f>SUM(O101:O117)</f>
        <v>0</v>
      </c>
      <c r="P118" s="727">
        <f>SUM(P101:P117)</f>
        <v>0</v>
      </c>
      <c r="R118" s="97"/>
      <c r="S118" s="600"/>
    </row>
    <row r="119" spans="2:19">
      <c r="B119" s="728"/>
      <c r="C119" s="708"/>
      <c r="D119" s="709"/>
      <c r="E119" s="709"/>
      <c r="F119" s="710"/>
      <c r="G119" s="710"/>
      <c r="H119" s="710"/>
      <c r="I119" s="710"/>
      <c r="J119" s="710"/>
      <c r="K119" s="710"/>
      <c r="L119" s="710"/>
      <c r="M119" s="711"/>
      <c r="N119" s="669"/>
      <c r="O119" s="726"/>
      <c r="P119" s="729"/>
      <c r="R119" s="97"/>
      <c r="S119" s="600"/>
    </row>
    <row r="120" spans="2:19">
      <c r="B120" s="730"/>
      <c r="C120" s="731" t="s">
        <v>281</v>
      </c>
      <c r="D120" s="732"/>
      <c r="E120" s="732"/>
      <c r="F120" s="733"/>
      <c r="G120" s="733"/>
      <c r="H120" s="733"/>
      <c r="I120" s="734">
        <v>1.6</v>
      </c>
      <c r="J120" s="734">
        <f>(F120*G120*2+(F120*2+G120*2)*H120)*I120/1000</f>
        <v>0</v>
      </c>
      <c r="K120" s="734">
        <v>7.85</v>
      </c>
      <c r="L120" s="734">
        <f>J120*K120*1000</f>
        <v>0</v>
      </c>
      <c r="M120" s="735"/>
      <c r="N120" s="560">
        <f>L120*M120</f>
        <v>0</v>
      </c>
      <c r="O120" s="736"/>
      <c r="P120" s="737"/>
      <c r="R120" s="97"/>
      <c r="S120" s="600"/>
    </row>
    <row r="121" spans="2:19">
      <c r="B121" s="738"/>
      <c r="C121" s="739" t="s">
        <v>313</v>
      </c>
      <c r="D121" s="740">
        <v>10</v>
      </c>
      <c r="E121" s="741"/>
      <c r="F121" s="742"/>
      <c r="G121" s="742"/>
      <c r="H121" s="742"/>
      <c r="I121" s="742"/>
      <c r="J121" s="742"/>
      <c r="K121" s="742"/>
      <c r="L121" s="742"/>
      <c r="M121" s="743"/>
      <c r="N121" s="563"/>
      <c r="O121" s="744"/>
      <c r="P121" s="678">
        <f>D121*0.1*M120</f>
        <v>0</v>
      </c>
      <c r="R121" s="97">
        <f>0.05*0.115*0.031</f>
        <v>1.7825000000000002E-4</v>
      </c>
      <c r="S121" s="600">
        <f>(D121+E121)*R121</f>
        <v>1.7825000000000002E-3</v>
      </c>
    </row>
    <row r="122" spans="2:19">
      <c r="B122" s="135"/>
      <c r="C122" s="745" t="s">
        <v>314</v>
      </c>
      <c r="D122" s="746">
        <v>0</v>
      </c>
      <c r="E122" s="747"/>
      <c r="F122" s="748"/>
      <c r="G122" s="748"/>
      <c r="H122" s="748"/>
      <c r="I122" s="748"/>
      <c r="J122" s="748"/>
      <c r="K122" s="748"/>
      <c r="L122" s="748"/>
      <c r="M122" s="749"/>
      <c r="N122" s="750"/>
      <c r="O122" s="751"/>
      <c r="P122" s="752">
        <f>D122*0.2*M120</f>
        <v>0</v>
      </c>
      <c r="R122" s="97"/>
      <c r="S122" s="600"/>
    </row>
    <row r="123" spans="2:19">
      <c r="B123" s="753"/>
      <c r="C123" s="739" t="s">
        <v>315</v>
      </c>
      <c r="D123" s="740">
        <v>0</v>
      </c>
      <c r="E123" s="741"/>
      <c r="F123" s="742"/>
      <c r="G123" s="742"/>
      <c r="H123" s="742"/>
      <c r="I123" s="742"/>
      <c r="J123" s="742"/>
      <c r="K123" s="742"/>
      <c r="L123" s="742"/>
      <c r="M123" s="743"/>
      <c r="N123" s="754"/>
      <c r="O123" s="755"/>
      <c r="P123" s="756">
        <f>D123*0.3*M120</f>
        <v>0</v>
      </c>
      <c r="R123" s="97"/>
      <c r="S123" s="600"/>
    </row>
    <row r="124" spans="2:19">
      <c r="B124" s="730" t="s">
        <v>316</v>
      </c>
      <c r="C124" s="731" t="s">
        <v>281</v>
      </c>
      <c r="D124" s="732"/>
      <c r="E124" s="732"/>
      <c r="F124" s="733"/>
      <c r="G124" s="733"/>
      <c r="H124" s="733"/>
      <c r="I124" s="734">
        <v>1.6</v>
      </c>
      <c r="J124" s="734">
        <f>(F124*G124*2+(F124*2+G124*2)*H124)*I124/1000</f>
        <v>0</v>
      </c>
      <c r="K124" s="734">
        <v>7.85</v>
      </c>
      <c r="L124" s="734">
        <f>J124*K124*1000</f>
        <v>0</v>
      </c>
      <c r="M124" s="735"/>
      <c r="N124" s="560">
        <f>L124*M124</f>
        <v>0</v>
      </c>
      <c r="O124" s="736"/>
      <c r="P124" s="737"/>
      <c r="R124" s="97"/>
      <c r="S124" s="600"/>
    </row>
    <row r="125" spans="2:19">
      <c r="B125" s="738"/>
      <c r="C125" s="739" t="s">
        <v>313</v>
      </c>
      <c r="D125" s="740">
        <v>1</v>
      </c>
      <c r="E125" s="741"/>
      <c r="F125" s="742"/>
      <c r="G125" s="742"/>
      <c r="H125" s="742"/>
      <c r="I125" s="742"/>
      <c r="J125" s="742"/>
      <c r="K125" s="742"/>
      <c r="L125" s="742"/>
      <c r="M125" s="743"/>
      <c r="N125" s="563"/>
      <c r="O125" s="744"/>
      <c r="P125" s="678">
        <f>D125*0.1*M124</f>
        <v>0</v>
      </c>
      <c r="R125" s="97">
        <f>0.05*0.115*0.031</f>
        <v>1.7825000000000002E-4</v>
      </c>
      <c r="S125" s="600">
        <f>(D125+E125)*R125</f>
        <v>1.7825000000000002E-4</v>
      </c>
    </row>
    <row r="126" spans="2:19">
      <c r="B126" s="135"/>
      <c r="C126" s="745" t="s">
        <v>314</v>
      </c>
      <c r="D126" s="746">
        <v>0</v>
      </c>
      <c r="E126" s="747"/>
      <c r="F126" s="748"/>
      <c r="G126" s="748"/>
      <c r="H126" s="748"/>
      <c r="I126" s="748"/>
      <c r="J126" s="748"/>
      <c r="K126" s="748"/>
      <c r="L126" s="748"/>
      <c r="M126" s="749"/>
      <c r="N126" s="750"/>
      <c r="O126" s="751"/>
      <c r="P126" s="752">
        <f>D126*0.2*M124</f>
        <v>0</v>
      </c>
      <c r="R126" s="97"/>
      <c r="S126" s="600"/>
    </row>
    <row r="127" spans="2:19">
      <c r="B127" s="753"/>
      <c r="C127" s="739" t="s">
        <v>315</v>
      </c>
      <c r="D127" s="740">
        <v>0</v>
      </c>
      <c r="E127" s="741"/>
      <c r="F127" s="742"/>
      <c r="G127" s="742"/>
      <c r="H127" s="742"/>
      <c r="I127" s="742"/>
      <c r="J127" s="742"/>
      <c r="K127" s="742"/>
      <c r="L127" s="742"/>
      <c r="M127" s="743"/>
      <c r="N127" s="754"/>
      <c r="O127" s="755"/>
      <c r="P127" s="756">
        <f>D127*0.3*M124</f>
        <v>0</v>
      </c>
      <c r="R127" s="97"/>
      <c r="S127" s="600"/>
    </row>
    <row r="128" spans="2:19">
      <c r="B128" s="680" t="s">
        <v>317</v>
      </c>
      <c r="C128" s="731" t="s">
        <v>281</v>
      </c>
      <c r="D128" s="732"/>
      <c r="E128" s="732"/>
      <c r="F128" s="733"/>
      <c r="G128" s="733"/>
      <c r="H128" s="733"/>
      <c r="I128" s="734">
        <v>1.6</v>
      </c>
      <c r="J128" s="734">
        <f>(F128*G128*2+(F128*2+G128*2)*H128)*I128/1000</f>
        <v>0</v>
      </c>
      <c r="K128" s="734">
        <v>7.85</v>
      </c>
      <c r="L128" s="734">
        <f>J128*K128*1000</f>
        <v>0</v>
      </c>
      <c r="M128" s="735"/>
      <c r="N128" s="560">
        <f>L128*M128</f>
        <v>0</v>
      </c>
      <c r="O128" s="736"/>
      <c r="P128" s="737"/>
      <c r="R128" s="97"/>
      <c r="S128" s="600"/>
    </row>
    <row r="129" spans="2:19">
      <c r="B129" s="738"/>
      <c r="C129" s="739" t="s">
        <v>313</v>
      </c>
      <c r="D129" s="740">
        <v>2</v>
      </c>
      <c r="E129" s="741"/>
      <c r="F129" s="742"/>
      <c r="G129" s="742"/>
      <c r="H129" s="742"/>
      <c r="I129" s="742"/>
      <c r="J129" s="742"/>
      <c r="K129" s="742"/>
      <c r="L129" s="742"/>
      <c r="M129" s="743"/>
      <c r="N129" s="563"/>
      <c r="O129" s="744"/>
      <c r="P129" s="678">
        <f>D129*0.1*M128</f>
        <v>0</v>
      </c>
      <c r="R129" s="97">
        <f>0.05*0.115*0.031</f>
        <v>1.7825000000000002E-4</v>
      </c>
      <c r="S129" s="600">
        <f>(D129+E129)*R129</f>
        <v>3.5650000000000005E-4</v>
      </c>
    </row>
    <row r="130" spans="2:19">
      <c r="B130" s="135"/>
      <c r="C130" s="745" t="s">
        <v>314</v>
      </c>
      <c r="D130" s="746">
        <v>0</v>
      </c>
      <c r="E130" s="747"/>
      <c r="F130" s="748"/>
      <c r="G130" s="748"/>
      <c r="H130" s="748"/>
      <c r="I130" s="748"/>
      <c r="J130" s="748"/>
      <c r="K130" s="748"/>
      <c r="L130" s="748"/>
      <c r="M130" s="749"/>
      <c r="N130" s="750"/>
      <c r="O130" s="751"/>
      <c r="P130" s="752">
        <f>D130*0.2*M128</f>
        <v>0</v>
      </c>
      <c r="R130" s="97"/>
      <c r="S130" s="600"/>
    </row>
    <row r="131" spans="2:19">
      <c r="B131" s="753"/>
      <c r="C131" s="739" t="s">
        <v>315</v>
      </c>
      <c r="D131" s="740">
        <v>0</v>
      </c>
      <c r="E131" s="741"/>
      <c r="F131" s="742"/>
      <c r="G131" s="742"/>
      <c r="H131" s="742"/>
      <c r="I131" s="742"/>
      <c r="J131" s="742"/>
      <c r="K131" s="742"/>
      <c r="L131" s="742"/>
      <c r="M131" s="743"/>
      <c r="N131" s="754"/>
      <c r="O131" s="755"/>
      <c r="P131" s="756">
        <f>D131*0.3*M128</f>
        <v>0</v>
      </c>
      <c r="R131" s="97"/>
      <c r="S131" s="600"/>
    </row>
    <row r="132" spans="2:19">
      <c r="B132" s="730" t="s">
        <v>316</v>
      </c>
      <c r="C132" s="731" t="s">
        <v>281</v>
      </c>
      <c r="D132" s="732"/>
      <c r="E132" s="732"/>
      <c r="F132" s="733"/>
      <c r="G132" s="733"/>
      <c r="H132" s="733"/>
      <c r="I132" s="734">
        <v>1.6</v>
      </c>
      <c r="J132" s="734">
        <f>(F132*G132*2+(F132*2+G132*2)*H132)*I132/1000</f>
        <v>0</v>
      </c>
      <c r="K132" s="734">
        <v>7.85</v>
      </c>
      <c r="L132" s="734">
        <f>J132*K132*1000</f>
        <v>0</v>
      </c>
      <c r="M132" s="735"/>
      <c r="N132" s="560">
        <f>L132*M132</f>
        <v>0</v>
      </c>
      <c r="O132" s="736"/>
      <c r="P132" s="737"/>
      <c r="R132" s="97"/>
      <c r="S132" s="600"/>
    </row>
    <row r="133" spans="2:19">
      <c r="B133" s="738"/>
      <c r="C133" s="739" t="s">
        <v>313</v>
      </c>
      <c r="D133" s="740">
        <v>0</v>
      </c>
      <c r="E133" s="741"/>
      <c r="F133" s="742"/>
      <c r="G133" s="742"/>
      <c r="H133" s="742"/>
      <c r="I133" s="742"/>
      <c r="J133" s="742"/>
      <c r="K133" s="742"/>
      <c r="L133" s="742"/>
      <c r="M133" s="743"/>
      <c r="N133" s="563"/>
      <c r="O133" s="744"/>
      <c r="P133" s="678">
        <f>D133*0.1*M132</f>
        <v>0</v>
      </c>
      <c r="R133" s="97">
        <f>0.05*0.115*0.031</f>
        <v>1.7825000000000002E-4</v>
      </c>
      <c r="S133" s="600"/>
    </row>
    <row r="134" spans="2:19">
      <c r="B134" s="135"/>
      <c r="C134" s="745" t="s">
        <v>314</v>
      </c>
      <c r="D134" s="746">
        <v>0</v>
      </c>
      <c r="E134" s="747"/>
      <c r="F134" s="748"/>
      <c r="G134" s="748"/>
      <c r="H134" s="748"/>
      <c r="I134" s="748"/>
      <c r="J134" s="748"/>
      <c r="K134" s="748"/>
      <c r="L134" s="748"/>
      <c r="M134" s="749"/>
      <c r="N134" s="750"/>
      <c r="O134" s="751"/>
      <c r="P134" s="752">
        <f>D134*0.2*M132</f>
        <v>0</v>
      </c>
      <c r="R134" s="97"/>
      <c r="S134" s="600"/>
    </row>
    <row r="135" spans="2:19">
      <c r="B135" s="753"/>
      <c r="C135" s="739" t="s">
        <v>315</v>
      </c>
      <c r="D135" s="740">
        <v>0</v>
      </c>
      <c r="E135" s="741"/>
      <c r="F135" s="742"/>
      <c r="G135" s="742"/>
      <c r="H135" s="742"/>
      <c r="I135" s="742"/>
      <c r="J135" s="742"/>
      <c r="K135" s="742"/>
      <c r="L135" s="742"/>
      <c r="M135" s="743"/>
      <c r="N135" s="754"/>
      <c r="O135" s="755"/>
      <c r="P135" s="756">
        <f>D135*0.3*M132</f>
        <v>0</v>
      </c>
      <c r="R135" s="97"/>
      <c r="S135" s="600"/>
    </row>
    <row r="136" spans="2:19">
      <c r="B136" s="728" t="s">
        <v>75</v>
      </c>
      <c r="C136" s="708"/>
      <c r="D136" s="709"/>
      <c r="E136" s="709"/>
      <c r="F136" s="710"/>
      <c r="G136" s="710"/>
      <c r="H136" s="710"/>
      <c r="I136" s="710"/>
      <c r="J136" s="710"/>
      <c r="K136" s="710"/>
      <c r="L136" s="710"/>
      <c r="M136" s="711"/>
      <c r="N136" s="561">
        <f>SUM(N120:N135)</f>
        <v>0</v>
      </c>
      <c r="O136" s="726"/>
      <c r="P136" s="727">
        <f>SUM(P120:P135)</f>
        <v>0</v>
      </c>
      <c r="R136" s="97"/>
      <c r="S136" s="600"/>
    </row>
    <row r="137" spans="2:19">
      <c r="B137" s="718"/>
      <c r="C137" s="719"/>
      <c r="D137" s="618"/>
      <c r="E137" s="618"/>
      <c r="F137" s="618"/>
      <c r="G137" s="618"/>
      <c r="H137" s="618"/>
      <c r="I137" s="618"/>
      <c r="J137" s="618"/>
      <c r="K137" s="618"/>
      <c r="L137" s="618"/>
      <c r="M137" s="720"/>
      <c r="N137" s="669"/>
      <c r="O137" s="669"/>
      <c r="P137" s="757"/>
      <c r="R137" s="166"/>
      <c r="S137" s="758"/>
    </row>
    <row r="138" spans="2:19" ht="14.25" thickBot="1">
      <c r="B138" s="728" t="s">
        <v>74</v>
      </c>
      <c r="C138" s="719"/>
      <c r="D138" s="618"/>
      <c r="E138" s="618"/>
      <c r="F138" s="618"/>
      <c r="G138" s="618"/>
      <c r="H138" s="618"/>
      <c r="I138" s="618"/>
      <c r="J138" s="618"/>
      <c r="K138" s="618"/>
      <c r="L138" s="618"/>
      <c r="M138" s="720"/>
      <c r="N138" s="564">
        <f>SUM(N26+N62+N98+N118+N136)</f>
        <v>0</v>
      </c>
      <c r="O138" s="564">
        <f>SUM(O26+O62+O98+O118+O136)</f>
        <v>0</v>
      </c>
      <c r="P138" s="759">
        <f>SUM(P26+P62+P98+P118+P136)</f>
        <v>0</v>
      </c>
      <c r="R138" s="760" t="s">
        <v>26</v>
      </c>
      <c r="S138" s="761">
        <f>SUM(S6:S137)</f>
        <v>2.7204500000000001E-3</v>
      </c>
    </row>
    <row r="139" spans="2:19">
      <c r="B139" s="762"/>
      <c r="C139" s="762"/>
      <c r="D139" s="762"/>
      <c r="E139" s="762"/>
      <c r="F139" s="762"/>
      <c r="G139" s="762"/>
      <c r="H139" s="762"/>
      <c r="I139" s="762"/>
      <c r="J139" s="762"/>
      <c r="K139" s="762"/>
      <c r="L139" s="762"/>
      <c r="M139" s="762"/>
      <c r="N139" s="762"/>
      <c r="O139" s="762"/>
      <c r="P139" s="762"/>
    </row>
    <row r="142" spans="2:19">
      <c r="L142" s="57" t="s">
        <v>193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scale="76" orientation="landscape" r:id="rId1"/>
  <headerFooter alignWithMargins="0"/>
  <rowBreaks count="3" manualBreakCount="3">
    <brk id="26" max="15" man="1"/>
    <brk id="62" max="15" man="1"/>
    <brk id="9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工事費</vt:lpstr>
      <vt:lpstr>電気設備工事</vt:lpstr>
      <vt:lpstr>配管関係</vt:lpstr>
      <vt:lpstr>電線・ｹｰﾌﾞﾙ</vt:lpstr>
      <vt:lpstr>弱電ケーブル</vt:lpstr>
      <vt:lpstr>配線器具</vt:lpstr>
      <vt:lpstr>プルボックス・盤</vt:lpstr>
      <vt:lpstr>プルボックス・盤!Print_Area</vt:lpstr>
      <vt:lpstr>工事費!Print_Area</vt:lpstr>
      <vt:lpstr>弱電ケーブル!Print_Area</vt:lpstr>
      <vt:lpstr>電線・ｹｰﾌﾞﾙ!Print_Area</vt:lpstr>
      <vt:lpstr>配管関係!Print_Area</vt:lpstr>
      <vt:lpstr>配線器具!Print_Area</vt:lpstr>
      <vt:lpstr>電気設備工事!Print_Titles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sweet10</dc:creator>
  <cp:lastModifiedBy>user7</cp:lastModifiedBy>
  <cp:lastPrinted>2026-08-21T07:23:35Z</cp:lastPrinted>
  <dcterms:created xsi:type="dcterms:W3CDTF">2026-07-21T08:19:56Z</dcterms:created>
  <dcterms:modified xsi:type="dcterms:W3CDTF">2026-08-21T07:32:40Z</dcterms:modified>
</cp:coreProperties>
</file>